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seagles-my.sharepoint.com/personal/cd22234_georgiasouthern_edu/Documents/Consumer Disc/"/>
    </mc:Choice>
  </mc:AlternateContent>
  <xr:revisionPtr revIDLastSave="3046" documentId="8_{70BA8221-8C1D-4127-BAB7-0FDEFFBF84DB}" xr6:coauthVersionLast="47" xr6:coauthVersionMax="47" xr10:uidLastSave="{0E86C4A4-7B18-4945-B841-BE5A86A66519}"/>
  <bookViews>
    <workbookView xWindow="6615" yWindow="3120" windowWidth="21600" windowHeight="11295" firstSheet="1" activeTab="3" xr2:uid="{743722D1-6C38-4380-BDE1-ADE5981F7BB6}"/>
  </bookViews>
  <sheets>
    <sheet name="Sheet1" sheetId="1" state="hidden" r:id="rId1"/>
    <sheet name="WACC" sheetId="2" r:id="rId2"/>
    <sheet name="DCF vs NPV of NI" sheetId="6" r:id="rId3"/>
    <sheet name="IS" sheetId="3" r:id="rId4"/>
    <sheet name="Sheet3" sheetId="8" r:id="rId5"/>
    <sheet name="Sheet2" sheetId="7" r:id="rId6"/>
    <sheet name="notes" sheetId="5" r:id="rId7"/>
    <sheet name="CF" sheetId="4" r:id="rId8"/>
  </sheets>
  <definedNames>
    <definedName name="tgr">WACC!$G$30</definedName>
    <definedName name="wacc">WACC!$G$29</definedName>
  </definedName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3" l="1"/>
  <c r="Q40" i="3"/>
  <c r="Q41" i="3"/>
  <c r="Q42" i="3"/>
  <c r="Q43" i="3"/>
  <c r="G13" i="2" a="1"/>
  <c r="G13" i="2" s="1"/>
  <c r="AB47" i="3" s="1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S15" i="3"/>
  <c r="S8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S11" i="3"/>
  <c r="S13" i="3"/>
  <c r="Q11" i="3"/>
  <c r="Q27" i="3"/>
  <c r="AC42" i="3"/>
  <c r="I10" i="7"/>
  <c r="I11" i="7"/>
  <c r="I12" i="7"/>
  <c r="I13" i="7"/>
  <c r="I14" i="7"/>
  <c r="I5" i="7"/>
  <c r="I6" i="7"/>
  <c r="I7" i="7"/>
  <c r="I8" i="7"/>
  <c r="I4" i="7"/>
  <c r="I9" i="7"/>
  <c r="A7" i="7"/>
  <c r="A8" i="7" s="1"/>
  <c r="A9" i="7" s="1"/>
  <c r="A10" i="7" s="1"/>
  <c r="A11" i="7" s="1"/>
  <c r="A12" i="7" s="1"/>
  <c r="A13" i="7" s="1"/>
  <c r="A14" i="7" s="1"/>
  <c r="G17" i="8"/>
  <c r="G18" i="8" s="1"/>
  <c r="G19" i="8" s="1"/>
  <c r="G20" i="8" s="1"/>
  <c r="G21" i="8" s="1"/>
  <c r="G22" i="8" s="1"/>
  <c r="G23" i="8" s="1"/>
  <c r="G24" i="8" s="1"/>
  <c r="G25" i="8" s="1"/>
  <c r="G26" i="8" s="1"/>
  <c r="F7" i="8"/>
  <c r="S5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AZ13" i="3"/>
  <c r="BH13" i="3"/>
  <c r="BP13" i="3"/>
  <c r="Q18" i="3"/>
  <c r="AX18" i="3" s="1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AB1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C3" i="3"/>
  <c r="AC18" i="3"/>
  <c r="Q7" i="3"/>
  <c r="D42" i="3"/>
  <c r="E42" i="3"/>
  <c r="F42" i="3"/>
  <c r="G8" i="3"/>
  <c r="H8" i="3" s="1"/>
  <c r="G5" i="3"/>
  <c r="G27" i="3" s="1"/>
  <c r="G42" i="3"/>
  <c r="I42" i="3"/>
  <c r="J42" i="3"/>
  <c r="K42" i="3"/>
  <c r="L8" i="3"/>
  <c r="L45" i="3" s="1"/>
  <c r="L5" i="3"/>
  <c r="N27" i="3" s="1"/>
  <c r="L42" i="3"/>
  <c r="N42" i="3"/>
  <c r="O42" i="3"/>
  <c r="P42" i="3"/>
  <c r="P13" i="3"/>
  <c r="P7" i="3"/>
  <c r="P9" i="3" s="1"/>
  <c r="P22" i="3" s="1"/>
  <c r="L10" i="3"/>
  <c r="L11" i="3"/>
  <c r="L12" i="3"/>
  <c r="L13" i="3" s="1"/>
  <c r="L6" i="3"/>
  <c r="L15" i="3"/>
  <c r="D33" i="3"/>
  <c r="D40" i="3"/>
  <c r="E33" i="3"/>
  <c r="E40" i="3"/>
  <c r="F33" i="3"/>
  <c r="F40" i="3"/>
  <c r="H33" i="3"/>
  <c r="I33" i="3"/>
  <c r="I40" i="3"/>
  <c r="J33" i="3"/>
  <c r="J40" i="3"/>
  <c r="K33" i="3"/>
  <c r="K40" i="3"/>
  <c r="L33" i="3"/>
  <c r="L40" i="3"/>
  <c r="M33" i="3"/>
  <c r="N33" i="3"/>
  <c r="N40" i="3"/>
  <c r="O33" i="3"/>
  <c r="O40" i="3"/>
  <c r="D34" i="3"/>
  <c r="D41" i="3"/>
  <c r="E34" i="3"/>
  <c r="E41" i="3"/>
  <c r="F34" i="3"/>
  <c r="F41" i="3"/>
  <c r="G34" i="3"/>
  <c r="H34" i="3"/>
  <c r="I34" i="3"/>
  <c r="I41" i="3"/>
  <c r="J34" i="3"/>
  <c r="J41" i="3"/>
  <c r="K34" i="3"/>
  <c r="K41" i="3"/>
  <c r="L34" i="3"/>
  <c r="M34" i="3"/>
  <c r="N34" i="3"/>
  <c r="N41" i="3"/>
  <c r="O34" i="3"/>
  <c r="O41" i="3"/>
  <c r="P34" i="3"/>
  <c r="P41" i="3"/>
  <c r="D35" i="3"/>
  <c r="D39" i="3"/>
  <c r="E35" i="3"/>
  <c r="E39" i="3"/>
  <c r="F35" i="3"/>
  <c r="F39" i="3"/>
  <c r="G35" i="3"/>
  <c r="H35" i="3"/>
  <c r="I35" i="3"/>
  <c r="I39" i="3"/>
  <c r="J35" i="3"/>
  <c r="J39" i="3"/>
  <c r="K35" i="3"/>
  <c r="K39" i="3"/>
  <c r="L35" i="3"/>
  <c r="M35" i="3"/>
  <c r="N35" i="3"/>
  <c r="N39" i="3"/>
  <c r="O35" i="3"/>
  <c r="O39" i="3"/>
  <c r="P35" i="3"/>
  <c r="P39" i="3"/>
  <c r="E7" i="4"/>
  <c r="F7" i="4"/>
  <c r="G7" i="4"/>
  <c r="J7" i="4"/>
  <c r="K7" i="4"/>
  <c r="M7" i="4"/>
  <c r="N7" i="4"/>
  <c r="P33" i="3" s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AB42" i="3"/>
  <c r="V40" i="3"/>
  <c r="AB18" i="3"/>
  <c r="AA13" i="3"/>
  <c r="Y13" i="3"/>
  <c r="Z13" i="3"/>
  <c r="Y18" i="3"/>
  <c r="Z18" i="3"/>
  <c r="AA18" i="3"/>
  <c r="X18" i="3"/>
  <c r="X13" i="3"/>
  <c r="H30" i="3"/>
  <c r="M30" i="3"/>
  <c r="R30" i="3"/>
  <c r="S30" i="3"/>
  <c r="U30" i="3"/>
  <c r="V30" i="3"/>
  <c r="M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9" i="4"/>
  <c r="N29" i="4"/>
  <c r="L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9" i="4"/>
  <c r="K29" i="4"/>
  <c r="I17" i="4"/>
  <c r="H17" i="4"/>
  <c r="F18" i="4"/>
  <c r="G18" i="4"/>
  <c r="F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G28" i="4"/>
  <c r="G29" i="4"/>
  <c r="E17" i="4"/>
  <c r="D17" i="4"/>
  <c r="M35" i="4"/>
  <c r="N35" i="4"/>
  <c r="J35" i="4"/>
  <c r="K35" i="4"/>
  <c r="F35" i="4"/>
  <c r="P32" i="3"/>
  <c r="O32" i="3"/>
  <c r="N32" i="3"/>
  <c r="K32" i="3"/>
  <c r="J32" i="3"/>
  <c r="I32" i="3"/>
  <c r="F32" i="3"/>
  <c r="E32" i="3"/>
  <c r="D32" i="3"/>
  <c r="H28" i="3"/>
  <c r="P27" i="3"/>
  <c r="O27" i="3"/>
  <c r="K27" i="3"/>
  <c r="J27" i="3"/>
  <c r="F27" i="3"/>
  <c r="E27" i="3"/>
  <c r="P26" i="3"/>
  <c r="O26" i="3"/>
  <c r="N26" i="3"/>
  <c r="K26" i="3"/>
  <c r="J26" i="3"/>
  <c r="I26" i="3"/>
  <c r="H26" i="3"/>
  <c r="V25" i="3"/>
  <c r="U25" i="3"/>
  <c r="T25" i="3"/>
  <c r="S25" i="3"/>
  <c r="V22" i="3"/>
  <c r="U22" i="3"/>
  <c r="T22" i="3"/>
  <c r="S22" i="3"/>
  <c r="V21" i="3"/>
  <c r="U21" i="3"/>
  <c r="T21" i="3"/>
  <c r="S21" i="3"/>
  <c r="M20" i="3"/>
  <c r="H20" i="3"/>
  <c r="M19" i="3"/>
  <c r="H19" i="3"/>
  <c r="V18" i="3"/>
  <c r="W18" i="3"/>
  <c r="U18" i="3"/>
  <c r="T18" i="3"/>
  <c r="S18" i="3"/>
  <c r="AG18" i="3"/>
  <c r="M18" i="3"/>
  <c r="H18" i="3"/>
  <c r="L32" i="3"/>
  <c r="M15" i="3"/>
  <c r="M32" i="3" s="1"/>
  <c r="G15" i="3"/>
  <c r="G32" i="3" s="1"/>
  <c r="H15" i="3"/>
  <c r="H32" i="3" s="1"/>
  <c r="O13" i="3"/>
  <c r="O14" i="3" s="1"/>
  <c r="N13" i="3"/>
  <c r="K13" i="3"/>
  <c r="K14" i="3" s="1"/>
  <c r="J13" i="3"/>
  <c r="J14" i="3" s="1"/>
  <c r="I13" i="3"/>
  <c r="I14" i="3" s="1"/>
  <c r="F13" i="3"/>
  <c r="F7" i="3"/>
  <c r="F9" i="3"/>
  <c r="F14" i="3"/>
  <c r="E13" i="3"/>
  <c r="D13" i="3"/>
  <c r="D7" i="3"/>
  <c r="D9" i="3" s="1"/>
  <c r="W12" i="3"/>
  <c r="R12" i="3"/>
  <c r="M12" i="3"/>
  <c r="G12" i="3"/>
  <c r="H12" i="3"/>
  <c r="V13" i="3"/>
  <c r="U13" i="3"/>
  <c r="T13" i="3"/>
  <c r="M11" i="3"/>
  <c r="G11" i="3"/>
  <c r="H11" i="3"/>
  <c r="W10" i="3"/>
  <c r="R10" i="3"/>
  <c r="M10" i="3"/>
  <c r="G10" i="3"/>
  <c r="G13" i="3" s="1"/>
  <c r="H10" i="3"/>
  <c r="P45" i="3"/>
  <c r="O45" i="3"/>
  <c r="K45" i="3"/>
  <c r="J45" i="3"/>
  <c r="F45" i="3"/>
  <c r="E45" i="3"/>
  <c r="R5" i="3"/>
  <c r="D23" i="5"/>
  <c r="G45" i="4"/>
  <c r="H45" i="4"/>
  <c r="I45" i="4"/>
  <c r="L45" i="4"/>
  <c r="D45" i="4"/>
  <c r="E37" i="4"/>
  <c r="G37" i="4"/>
  <c r="H37" i="4"/>
  <c r="I37" i="4"/>
  <c r="L37" i="4"/>
  <c r="D37" i="4"/>
  <c r="M48" i="4"/>
  <c r="N48" i="4"/>
  <c r="M43" i="4"/>
  <c r="N43" i="4"/>
  <c r="M41" i="4"/>
  <c r="N41" i="4"/>
  <c r="M40" i="4"/>
  <c r="N40" i="4"/>
  <c r="M15" i="4"/>
  <c r="N15" i="4"/>
  <c r="M14" i="4"/>
  <c r="N14" i="4"/>
  <c r="M13" i="4"/>
  <c r="N13" i="4"/>
  <c r="M12" i="4"/>
  <c r="N12" i="4"/>
  <c r="M11" i="4"/>
  <c r="N11" i="4"/>
  <c r="M10" i="4"/>
  <c r="N10" i="4"/>
  <c r="M9" i="4"/>
  <c r="L21" i="4"/>
  <c r="G8" i="4"/>
  <c r="E41" i="4"/>
  <c r="E45" i="4"/>
  <c r="F41" i="4"/>
  <c r="F45" i="4"/>
  <c r="F48" i="4"/>
  <c r="J48" i="4"/>
  <c r="K48" i="4"/>
  <c r="F40" i="4"/>
  <c r="F34" i="4"/>
  <c r="F15" i="4"/>
  <c r="G15" i="4"/>
  <c r="F14" i="4"/>
  <c r="G14" i="4"/>
  <c r="F13" i="4"/>
  <c r="G13" i="4"/>
  <c r="F11" i="4"/>
  <c r="G11" i="4"/>
  <c r="F10" i="4"/>
  <c r="G10" i="4"/>
  <c r="F9" i="4"/>
  <c r="G9" i="4"/>
  <c r="J43" i="4"/>
  <c r="K43" i="4"/>
  <c r="J41" i="4"/>
  <c r="K41" i="4"/>
  <c r="J40" i="4"/>
  <c r="J34" i="4"/>
  <c r="M37" i="4"/>
  <c r="J15" i="4"/>
  <c r="K15" i="4"/>
  <c r="J14" i="4"/>
  <c r="K14" i="4"/>
  <c r="J13" i="4"/>
  <c r="K13" i="4"/>
  <c r="J12" i="4"/>
  <c r="K12" i="4"/>
  <c r="J11" i="4"/>
  <c r="K11" i="4"/>
  <c r="J10" i="4"/>
  <c r="K10" i="4"/>
  <c r="J9" i="4"/>
  <c r="K9" i="4"/>
  <c r="H7" i="4"/>
  <c r="D7" i="4"/>
  <c r="E34" i="2"/>
  <c r="F34" i="2"/>
  <c r="F35" i="2"/>
  <c r="G18" i="2"/>
  <c r="E7" i="3"/>
  <c r="E9" i="3" s="1"/>
  <c r="E21" i="3"/>
  <c r="G6" i="3"/>
  <c r="H6" i="3"/>
  <c r="M6" i="3"/>
  <c r="L27" i="3"/>
  <c r="N7" i="3"/>
  <c r="N21" i="3" s="1"/>
  <c r="N9" i="3"/>
  <c r="N22" i="3" s="1"/>
  <c r="I7" i="3"/>
  <c r="I9" i="3"/>
  <c r="I22" i="3"/>
  <c r="I21" i="3"/>
  <c r="J7" i="3"/>
  <c r="J9" i="3"/>
  <c r="J22" i="3" s="1"/>
  <c r="O7" i="3"/>
  <c r="F22" i="3"/>
  <c r="F21" i="3"/>
  <c r="K7" i="3"/>
  <c r="K21" i="3"/>
  <c r="K9" i="3"/>
  <c r="K22" i="3" s="1"/>
  <c r="G16" i="2"/>
  <c r="AB43" i="3"/>
  <c r="G24" i="2"/>
  <c r="I12" i="1"/>
  <c r="I17" i="1"/>
  <c r="L14" i="1"/>
  <c r="E14" i="1"/>
  <c r="E13" i="1"/>
  <c r="E11" i="1"/>
  <c r="G22" i="1"/>
  <c r="H22" i="1"/>
  <c r="E5" i="1"/>
  <c r="E16" i="1"/>
  <c r="D17" i="1"/>
  <c r="G19" i="2"/>
  <c r="G17" i="2"/>
  <c r="G26" i="2"/>
  <c r="AV18" i="3"/>
  <c r="AU18" i="3"/>
  <c r="AT18" i="3"/>
  <c r="AS18" i="3"/>
  <c r="R18" i="3"/>
  <c r="AR18" i="3"/>
  <c r="AQ18" i="3"/>
  <c r="AP18" i="3"/>
  <c r="AO18" i="3"/>
  <c r="AL18" i="3"/>
  <c r="AN18" i="3"/>
  <c r="AI18" i="3"/>
  <c r="AK18" i="3"/>
  <c r="AJ18" i="3"/>
  <c r="AH18" i="3"/>
  <c r="AE18" i="3"/>
  <c r="AD18" i="3"/>
  <c r="O9" i="3"/>
  <c r="O22" i="3" s="1"/>
  <c r="O21" i="3"/>
  <c r="F24" i="3"/>
  <c r="F16" i="3"/>
  <c r="F23" i="3" s="1"/>
  <c r="F31" i="3"/>
  <c r="R11" i="3"/>
  <c r="D21" i="3"/>
  <c r="J21" i="3"/>
  <c r="AM18" i="3"/>
  <c r="I27" i="3"/>
  <c r="AF18" i="3"/>
  <c r="N37" i="4"/>
  <c r="M45" i="4"/>
  <c r="J37" i="4"/>
  <c r="J45" i="4"/>
  <c r="N45" i="4"/>
  <c r="F17" i="4"/>
  <c r="F37" i="4"/>
  <c r="M17" i="4"/>
  <c r="J17" i="4"/>
  <c r="Q31" i="4"/>
  <c r="K17" i="4"/>
  <c r="K37" i="4"/>
  <c r="N9" i="4"/>
  <c r="K40" i="4"/>
  <c r="K45" i="4"/>
  <c r="N18" i="4"/>
  <c r="N17" i="4"/>
  <c r="G19" i="4"/>
  <c r="G17" i="4"/>
  <c r="G27" i="2"/>
  <c r="G29" i="2"/>
  <c r="F36" i="3"/>
  <c r="W13" i="3" l="1"/>
  <c r="AY13" i="3"/>
  <c r="K31" i="3"/>
  <c r="K36" i="3" s="1"/>
  <c r="K24" i="3"/>
  <c r="K16" i="3"/>
  <c r="H13" i="3"/>
  <c r="J24" i="3"/>
  <c r="J16" i="3"/>
  <c r="J31" i="3"/>
  <c r="J36" i="3" s="1"/>
  <c r="O31" i="3"/>
  <c r="O36" i="3" s="1"/>
  <c r="O16" i="3"/>
  <c r="O24" i="3"/>
  <c r="E14" i="3"/>
  <c r="E22" i="3"/>
  <c r="P14" i="3"/>
  <c r="D22" i="3"/>
  <c r="D14" i="3"/>
  <c r="I16" i="3"/>
  <c r="I24" i="3"/>
  <c r="I31" i="3"/>
  <c r="I36" i="3" s="1"/>
  <c r="M13" i="3"/>
  <c r="I45" i="3"/>
  <c r="N14" i="3"/>
  <c r="M8" i="3"/>
  <c r="M42" i="3" s="1"/>
  <c r="G7" i="3"/>
  <c r="L41" i="3"/>
  <c r="G41" i="3"/>
  <c r="H5" i="3"/>
  <c r="F6" i="4"/>
  <c r="F31" i="4" s="1"/>
  <c r="F50" i="4" s="1"/>
  <c r="P21" i="3"/>
  <c r="L39" i="3"/>
  <c r="L7" i="3"/>
  <c r="N45" i="3"/>
  <c r="S6" i="3"/>
  <c r="S7" i="3" s="1"/>
  <c r="R7" i="3"/>
  <c r="R21" i="3" s="1"/>
  <c r="M5" i="3"/>
  <c r="M41" i="3" s="1"/>
  <c r="G45" i="3"/>
  <c r="G39" i="3"/>
  <c r="F17" i="3"/>
  <c r="L26" i="3"/>
  <c r="AW18" i="3"/>
  <c r="Q26" i="3"/>
  <c r="V26" i="3" s="1"/>
  <c r="F43" i="3"/>
  <c r="P40" i="3"/>
  <c r="BF13" i="3"/>
  <c r="BE13" i="3"/>
  <c r="BL13" i="3"/>
  <c r="BD13" i="3"/>
  <c r="G33" i="3"/>
  <c r="AW13" i="3"/>
  <c r="AS13" i="3"/>
  <c r="AO13" i="3"/>
  <c r="AK13" i="3"/>
  <c r="AG13" i="3"/>
  <c r="AC13" i="3"/>
  <c r="BK13" i="3"/>
  <c r="BC13" i="3"/>
  <c r="BJ13" i="3"/>
  <c r="BB13" i="3"/>
  <c r="BN13" i="3"/>
  <c r="AT13" i="3"/>
  <c r="AP13" i="3"/>
  <c r="AL13" i="3"/>
  <c r="AH13" i="3"/>
  <c r="AD13" i="3"/>
  <c r="BM13" i="3"/>
  <c r="AV13" i="3"/>
  <c r="AR13" i="3"/>
  <c r="AN13" i="3"/>
  <c r="AJ13" i="3"/>
  <c r="AF13" i="3"/>
  <c r="BI13" i="3"/>
  <c r="BA13" i="3"/>
  <c r="Q13" i="3"/>
  <c r="R13" i="3" s="1"/>
  <c r="AU13" i="3"/>
  <c r="AQ13" i="3"/>
  <c r="AM13" i="3"/>
  <c r="AI13" i="3"/>
  <c r="AE13" i="3"/>
  <c r="AX13" i="3"/>
  <c r="BO13" i="3"/>
  <c r="BG13" i="3"/>
  <c r="V27" i="3"/>
  <c r="U27" i="3"/>
  <c r="T27" i="3"/>
  <c r="S27" i="3"/>
  <c r="R6" i="3"/>
  <c r="M39" i="3"/>
  <c r="R26" i="3"/>
  <c r="M26" i="3"/>
  <c r="T5" i="3"/>
  <c r="T6" i="3" s="1"/>
  <c r="H40" i="3"/>
  <c r="H39" i="3"/>
  <c r="H42" i="3"/>
  <c r="H41" i="3"/>
  <c r="M40" i="3"/>
  <c r="G7" i="8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AI7" i="8" s="1"/>
  <c r="AJ7" i="8" s="1"/>
  <c r="AK7" i="8" s="1"/>
  <c r="AL7" i="8" s="1"/>
  <c r="AM7" i="8" s="1"/>
  <c r="AN7" i="8" s="1"/>
  <c r="AO7" i="8" s="1"/>
  <c r="AP7" i="8" s="1"/>
  <c r="AQ7" i="8" s="1"/>
  <c r="AR7" i="8" s="1"/>
  <c r="AS7" i="8" s="1"/>
  <c r="AT7" i="8" s="1"/>
  <c r="AU7" i="8" s="1"/>
  <c r="AV7" i="8" s="1"/>
  <c r="AW7" i="8" s="1"/>
  <c r="AX7" i="8" s="1"/>
  <c r="AY7" i="8" s="1"/>
  <c r="AZ7" i="8" s="1"/>
  <c r="BA7" i="8" s="1"/>
  <c r="I23" i="3" l="1"/>
  <c r="I43" i="3"/>
  <c r="I17" i="3"/>
  <c r="H6" i="4"/>
  <c r="H31" i="4" s="1"/>
  <c r="H50" i="4" s="1"/>
  <c r="N31" i="3"/>
  <c r="N36" i="3" s="1"/>
  <c r="N16" i="3"/>
  <c r="N24" i="3"/>
  <c r="D16" i="3"/>
  <c r="D24" i="3"/>
  <c r="D31" i="3"/>
  <c r="D36" i="3" s="1"/>
  <c r="P24" i="3"/>
  <c r="Q24" i="3" s="1"/>
  <c r="P31" i="3"/>
  <c r="P36" i="3" s="1"/>
  <c r="P16" i="3"/>
  <c r="E31" i="3"/>
  <c r="E36" i="3" s="1"/>
  <c r="E24" i="3"/>
  <c r="E16" i="3"/>
  <c r="O29" i="3"/>
  <c r="O23" i="3"/>
  <c r="M6" i="4"/>
  <c r="M31" i="4" s="1"/>
  <c r="M50" i="4" s="1"/>
  <c r="O28" i="3"/>
  <c r="O43" i="3"/>
  <c r="O17" i="3"/>
  <c r="G21" i="3"/>
  <c r="G9" i="3"/>
  <c r="L9" i="3"/>
  <c r="L21" i="3"/>
  <c r="M7" i="3"/>
  <c r="M21" i="3" s="1"/>
  <c r="S26" i="3"/>
  <c r="J43" i="3"/>
  <c r="J17" i="3"/>
  <c r="I6" i="4"/>
  <c r="I31" i="4" s="1"/>
  <c r="I50" i="4" s="1"/>
  <c r="J29" i="3"/>
  <c r="J23" i="3"/>
  <c r="T26" i="3"/>
  <c r="U26" i="3"/>
  <c r="H7" i="3"/>
  <c r="H21" i="3" s="1"/>
  <c r="K43" i="3"/>
  <c r="J6" i="4"/>
  <c r="J31" i="4" s="1"/>
  <c r="J50" i="4" s="1"/>
  <c r="K17" i="3"/>
  <c r="K29" i="3"/>
  <c r="K28" i="3"/>
  <c r="K23" i="3"/>
  <c r="G40" i="3"/>
  <c r="T7" i="3"/>
  <c r="U5" i="3"/>
  <c r="U6" i="3" s="1"/>
  <c r="R42" i="3"/>
  <c r="F9" i="8"/>
  <c r="F12" i="8" s="1"/>
  <c r="F13" i="8" s="1"/>
  <c r="J15" i="8" s="1"/>
  <c r="F8" i="8"/>
  <c r="M9" i="3" l="1"/>
  <c r="M22" i="3" s="1"/>
  <c r="L22" i="3"/>
  <c r="L14" i="3"/>
  <c r="E17" i="3"/>
  <c r="E29" i="3"/>
  <c r="E43" i="3"/>
  <c r="E6" i="4"/>
  <c r="E31" i="4" s="1"/>
  <c r="E50" i="4" s="1"/>
  <c r="E23" i="3"/>
  <c r="F29" i="3"/>
  <c r="D17" i="3"/>
  <c r="D6" i="4"/>
  <c r="D31" i="4" s="1"/>
  <c r="D50" i="4" s="1"/>
  <c r="D23" i="3"/>
  <c r="D43" i="3"/>
  <c r="V24" i="3"/>
  <c r="S24" i="3"/>
  <c r="T24" i="3"/>
  <c r="U24" i="3"/>
  <c r="N23" i="3"/>
  <c r="N17" i="3"/>
  <c r="N43" i="3"/>
  <c r="L6" i="4"/>
  <c r="L31" i="4" s="1"/>
  <c r="L50" i="4" s="1"/>
  <c r="N28" i="3"/>
  <c r="H53" i="4"/>
  <c r="I52" i="4" s="1"/>
  <c r="I53" i="4"/>
  <c r="J52" i="4" s="1"/>
  <c r="J53" i="4" s="1"/>
  <c r="K52" i="4" s="1"/>
  <c r="I28" i="3"/>
  <c r="G22" i="3"/>
  <c r="G14" i="3"/>
  <c r="H9" i="3"/>
  <c r="H22" i="3" s="1"/>
  <c r="P43" i="3"/>
  <c r="N6" i="4"/>
  <c r="N31" i="4" s="1"/>
  <c r="N50" i="4" s="1"/>
  <c r="P29" i="3"/>
  <c r="P28" i="3"/>
  <c r="P17" i="3"/>
  <c r="P23" i="3"/>
  <c r="J28" i="3"/>
  <c r="U7" i="3"/>
  <c r="V5" i="3"/>
  <c r="V6" i="3" s="1"/>
  <c r="T9" i="3"/>
  <c r="T14" i="3" s="1"/>
  <c r="T15" i="3" s="1"/>
  <c r="I55" i="4" l="1"/>
  <c r="D53" i="4"/>
  <c r="E52" i="4" s="1"/>
  <c r="E53" i="4" s="1"/>
  <c r="F52" i="4" s="1"/>
  <c r="F53" i="4" s="1"/>
  <c r="G31" i="3"/>
  <c r="G36" i="3" s="1"/>
  <c r="G16" i="3"/>
  <c r="G24" i="3"/>
  <c r="H14" i="3"/>
  <c r="H55" i="4"/>
  <c r="L16" i="3"/>
  <c r="L31" i="3"/>
  <c r="L36" i="3" s="1"/>
  <c r="L24" i="3"/>
  <c r="M14" i="3"/>
  <c r="W6" i="3"/>
  <c r="U9" i="3"/>
  <c r="U14" i="3" s="1"/>
  <c r="W5" i="3"/>
  <c r="T16" i="3"/>
  <c r="T17" i="3" s="1"/>
  <c r="Q9" i="3"/>
  <c r="R8" i="3"/>
  <c r="R45" i="3" s="1"/>
  <c r="Q45" i="3"/>
  <c r="S9" i="3"/>
  <c r="U15" i="3" l="1"/>
  <c r="U16" i="3" s="1"/>
  <c r="U17" i="3" s="1"/>
  <c r="L17" i="3"/>
  <c r="M17" i="3" s="1"/>
  <c r="K6" i="4"/>
  <c r="K31" i="4" s="1"/>
  <c r="K50" i="4" s="1"/>
  <c r="K53" i="4" s="1"/>
  <c r="L52" i="4" s="1"/>
  <c r="L53" i="4" s="1"/>
  <c r="M52" i="4" s="1"/>
  <c r="M53" i="4" s="1"/>
  <c r="N52" i="4" s="1"/>
  <c r="N53" i="4" s="1"/>
  <c r="L43" i="3"/>
  <c r="L28" i="3"/>
  <c r="L23" i="3"/>
  <c r="L29" i="3"/>
  <c r="M16" i="3"/>
  <c r="N29" i="3"/>
  <c r="H31" i="3"/>
  <c r="H36" i="3" s="1"/>
  <c r="H24" i="3"/>
  <c r="G23" i="3"/>
  <c r="G6" i="4"/>
  <c r="G31" i="4" s="1"/>
  <c r="G29" i="3"/>
  <c r="G17" i="3"/>
  <c r="H17" i="3" s="1"/>
  <c r="G43" i="3"/>
  <c r="I29" i="3"/>
  <c r="H16" i="3"/>
  <c r="D55" i="4"/>
  <c r="M31" i="3"/>
  <c r="M36" i="3" s="1"/>
  <c r="M24" i="3"/>
  <c r="X5" i="3"/>
  <c r="X6" i="3" s="1"/>
  <c r="W26" i="3"/>
  <c r="V7" i="3"/>
  <c r="Q14" i="3"/>
  <c r="R9" i="3"/>
  <c r="R22" i="3" s="1"/>
  <c r="S14" i="3"/>
  <c r="M28" i="3" l="1"/>
  <c r="M43" i="3"/>
  <c r="M23" i="3"/>
  <c r="H23" i="3"/>
  <c r="H43" i="3"/>
  <c r="R43" i="3"/>
  <c r="V9" i="3"/>
  <c r="W7" i="3"/>
  <c r="W21" i="3" s="1"/>
  <c r="Y5" i="3"/>
  <c r="Y6" i="3" s="1"/>
  <c r="X26" i="3"/>
  <c r="X7" i="3"/>
  <c r="Q31" i="3"/>
  <c r="R14" i="3"/>
  <c r="Z5" i="3" l="1"/>
  <c r="Z6" i="3" s="1"/>
  <c r="Y26" i="3"/>
  <c r="Y7" i="3"/>
  <c r="X9" i="3"/>
  <c r="X21" i="3"/>
  <c r="V14" i="3"/>
  <c r="V15" i="3" s="1"/>
  <c r="W9" i="3"/>
  <c r="W22" i="3" s="1"/>
  <c r="S16" i="3"/>
  <c r="Q32" i="3"/>
  <c r="R15" i="3"/>
  <c r="R24" i="3" s="1"/>
  <c r="R31" i="3"/>
  <c r="V31" i="3"/>
  <c r="U31" i="3"/>
  <c r="S31" i="3"/>
  <c r="Q16" i="3"/>
  <c r="O6" i="4" l="1"/>
  <c r="Q23" i="3"/>
  <c r="Y21" i="3"/>
  <c r="Y9" i="3"/>
  <c r="X14" i="3"/>
  <c r="X15" i="3" s="1"/>
  <c r="X22" i="3"/>
  <c r="AA5" i="3"/>
  <c r="AA6" i="3" s="1"/>
  <c r="Z7" i="3"/>
  <c r="Z26" i="3"/>
  <c r="W14" i="3"/>
  <c r="Q28" i="3"/>
  <c r="Q29" i="3"/>
  <c r="Q17" i="3"/>
  <c r="R17" i="3" s="1"/>
  <c r="R16" i="3"/>
  <c r="S17" i="3"/>
  <c r="R32" i="3"/>
  <c r="U32" i="3"/>
  <c r="S32" i="3"/>
  <c r="V32" i="3"/>
  <c r="W31" i="3" l="1"/>
  <c r="W15" i="3"/>
  <c r="Z21" i="3"/>
  <c r="Z9" i="3"/>
  <c r="AA7" i="3"/>
  <c r="AB5" i="3"/>
  <c r="AB6" i="3" s="1"/>
  <c r="AA26" i="3"/>
  <c r="V16" i="3"/>
  <c r="X31" i="3"/>
  <c r="X16" i="3"/>
  <c r="Y14" i="3"/>
  <c r="Y15" i="3" s="1"/>
  <c r="Y22" i="3"/>
  <c r="R28" i="3"/>
  <c r="R23" i="3"/>
  <c r="S23" i="3"/>
  <c r="U23" i="3"/>
  <c r="V23" i="3"/>
  <c r="T23" i="3"/>
  <c r="T29" i="3"/>
  <c r="S29" i="3"/>
  <c r="V29" i="3"/>
  <c r="U29" i="3"/>
  <c r="T28" i="3"/>
  <c r="S28" i="3"/>
  <c r="V28" i="3"/>
  <c r="U28" i="3"/>
  <c r="X17" i="3" l="1"/>
  <c r="X23" i="3"/>
  <c r="X24" i="3"/>
  <c r="X32" i="3"/>
  <c r="W32" i="3"/>
  <c r="W24" i="3"/>
  <c r="AA9" i="3"/>
  <c r="AA21" i="3"/>
  <c r="V17" i="3"/>
  <c r="W17" i="3" s="1"/>
  <c r="W16" i="3"/>
  <c r="X28" i="3" s="1"/>
  <c r="Z22" i="3"/>
  <c r="Z14" i="3"/>
  <c r="Z15" i="3" s="1"/>
  <c r="Y31" i="3"/>
  <c r="Y16" i="3"/>
  <c r="AC5" i="3"/>
  <c r="AC6" i="3" s="1"/>
  <c r="AB7" i="3"/>
  <c r="AB26" i="3"/>
  <c r="AA14" i="3" l="1"/>
  <c r="AA15" i="3" s="1"/>
  <c r="AA22" i="3"/>
  <c r="AB9" i="3"/>
  <c r="AB21" i="3"/>
  <c r="Z31" i="3"/>
  <c r="Y17" i="3"/>
  <c r="Y23" i="3"/>
  <c r="Y28" i="3"/>
  <c r="W23" i="3"/>
  <c r="W28" i="3"/>
  <c r="AD5" i="3"/>
  <c r="AD6" i="3" s="1"/>
  <c r="AC7" i="3"/>
  <c r="AC26" i="3"/>
  <c r="Y32" i="3"/>
  <c r="Y24" i="3"/>
  <c r="AC21" i="3" l="1"/>
  <c r="AC9" i="3"/>
  <c r="AE5" i="3"/>
  <c r="AE6" i="3" s="1"/>
  <c r="AD26" i="3"/>
  <c r="AD7" i="3"/>
  <c r="Z16" i="3"/>
  <c r="Z32" i="3"/>
  <c r="Z24" i="3"/>
  <c r="AB14" i="3"/>
  <c r="AB15" i="3" s="1"/>
  <c r="AB22" i="3"/>
  <c r="AA31" i="3"/>
  <c r="AA32" i="3" l="1"/>
  <c r="AA24" i="3"/>
  <c r="AF5" i="3"/>
  <c r="AF6" i="3" s="1"/>
  <c r="AE26" i="3"/>
  <c r="AE7" i="3"/>
  <c r="AD9" i="3"/>
  <c r="AD21" i="3"/>
  <c r="AB31" i="3"/>
  <c r="AB16" i="3"/>
  <c r="Z17" i="3"/>
  <c r="Z23" i="3"/>
  <c r="Z28" i="3"/>
  <c r="AC22" i="3"/>
  <c r="AC14" i="3"/>
  <c r="AC15" i="3" s="1"/>
  <c r="AA16" i="3"/>
  <c r="AB28" i="3" l="1"/>
  <c r="AB23" i="3"/>
  <c r="AB17" i="3"/>
  <c r="AB24" i="3"/>
  <c r="AB32" i="3"/>
  <c r="AG5" i="3"/>
  <c r="AG6" i="3" s="1"/>
  <c r="AF7" i="3"/>
  <c r="AF26" i="3"/>
  <c r="AC16" i="3"/>
  <c r="AC31" i="3"/>
  <c r="AD14" i="3"/>
  <c r="AD15" i="3" s="1"/>
  <c r="AD22" i="3"/>
  <c r="AE9" i="3"/>
  <c r="AE21" i="3"/>
  <c r="AA23" i="3"/>
  <c r="AA17" i="3"/>
  <c r="AA28" i="3"/>
  <c r="AC17" i="3" l="1"/>
  <c r="AC23" i="3"/>
  <c r="AC28" i="3"/>
  <c r="AC24" i="3"/>
  <c r="AC32" i="3"/>
  <c r="AF9" i="3"/>
  <c r="AF21" i="3"/>
  <c r="AD31" i="3"/>
  <c r="AD16" i="3"/>
  <c r="AG26" i="3"/>
  <c r="AH5" i="3"/>
  <c r="AH6" i="3" s="1"/>
  <c r="AG7" i="3"/>
  <c r="AE22" i="3"/>
  <c r="AE14" i="3"/>
  <c r="AE15" i="3" s="1"/>
  <c r="AI5" i="3" l="1"/>
  <c r="AI6" i="3" s="1"/>
  <c r="AH26" i="3"/>
  <c r="AH7" i="3"/>
  <c r="AE31" i="3"/>
  <c r="AF14" i="3"/>
  <c r="AF15" i="3" s="1"/>
  <c r="AF22" i="3"/>
  <c r="AD28" i="3"/>
  <c r="AD17" i="3"/>
  <c r="AD23" i="3"/>
  <c r="AD24" i="3"/>
  <c r="AD32" i="3"/>
  <c r="AG9" i="3"/>
  <c r="AG21" i="3"/>
  <c r="AE32" i="3" l="1"/>
  <c r="AE24" i="3"/>
  <c r="AH21" i="3"/>
  <c r="AH9" i="3"/>
  <c r="AF31" i="3"/>
  <c r="AJ5" i="3"/>
  <c r="AJ6" i="3" s="1"/>
  <c r="AI7" i="3"/>
  <c r="AI26" i="3"/>
  <c r="AG14" i="3"/>
  <c r="AG15" i="3" s="1"/>
  <c r="AG22" i="3"/>
  <c r="AE16" i="3"/>
  <c r="AI21" i="3" l="1"/>
  <c r="AI9" i="3"/>
  <c r="AH14" i="3"/>
  <c r="AH15" i="3" s="1"/>
  <c r="AH22" i="3"/>
  <c r="AG31" i="3"/>
  <c r="AG16" i="3"/>
  <c r="AF32" i="3"/>
  <c r="AF24" i="3"/>
  <c r="AE28" i="3"/>
  <c r="AE23" i="3"/>
  <c r="AE17" i="3"/>
  <c r="AK5" i="3"/>
  <c r="AK6" i="3" s="1"/>
  <c r="AJ26" i="3"/>
  <c r="AJ7" i="3"/>
  <c r="AF16" i="3"/>
  <c r="AF23" i="3" l="1"/>
  <c r="AF28" i="3"/>
  <c r="AF17" i="3"/>
  <c r="AG24" i="3"/>
  <c r="AG32" i="3"/>
  <c r="AJ21" i="3"/>
  <c r="AJ9" i="3"/>
  <c r="AI14" i="3"/>
  <c r="AI15" i="3" s="1"/>
  <c r="AI22" i="3"/>
  <c r="AG28" i="3"/>
  <c r="AG23" i="3"/>
  <c r="AG17" i="3"/>
  <c r="AK26" i="3"/>
  <c r="AK7" i="3"/>
  <c r="AL5" i="3"/>
  <c r="AL6" i="3" s="1"/>
  <c r="AH31" i="3"/>
  <c r="AH16" i="3"/>
  <c r="AK9" i="3" l="1"/>
  <c r="AK21" i="3"/>
  <c r="AH28" i="3"/>
  <c r="AH17" i="3"/>
  <c r="AH23" i="3"/>
  <c r="AH32" i="3"/>
  <c r="AH24" i="3"/>
  <c r="AJ14" i="3"/>
  <c r="AJ15" i="3" s="1"/>
  <c r="AJ22" i="3"/>
  <c r="AL26" i="3"/>
  <c r="AM5" i="3"/>
  <c r="AM6" i="3" s="1"/>
  <c r="AL7" i="3"/>
  <c r="AI16" i="3"/>
  <c r="AI31" i="3"/>
  <c r="AN5" i="3" l="1"/>
  <c r="AN6" i="3" s="1"/>
  <c r="AM26" i="3"/>
  <c r="AM7" i="3"/>
  <c r="AI24" i="3"/>
  <c r="AI32" i="3"/>
  <c r="AI17" i="3"/>
  <c r="AI28" i="3"/>
  <c r="AI23" i="3"/>
  <c r="AL9" i="3"/>
  <c r="AL21" i="3"/>
  <c r="AJ31" i="3"/>
  <c r="AK22" i="3"/>
  <c r="AK14" i="3"/>
  <c r="AK15" i="3" s="1"/>
  <c r="AM21" i="3" l="1"/>
  <c r="AM9" i="3"/>
  <c r="AL14" i="3"/>
  <c r="AL15" i="3" s="1"/>
  <c r="AL22" i="3"/>
  <c r="AJ32" i="3"/>
  <c r="AJ24" i="3"/>
  <c r="AN26" i="3"/>
  <c r="AN7" i="3"/>
  <c r="AO5" i="3"/>
  <c r="AO6" i="3" s="1"/>
  <c r="AK16" i="3"/>
  <c r="AK31" i="3"/>
  <c r="AJ16" i="3"/>
  <c r="AK23" i="3" l="1"/>
  <c r="AK28" i="3"/>
  <c r="AK17" i="3"/>
  <c r="AK32" i="3"/>
  <c r="AK24" i="3"/>
  <c r="AJ23" i="3"/>
  <c r="AJ28" i="3"/>
  <c r="AJ17" i="3"/>
  <c r="AM22" i="3"/>
  <c r="AM14" i="3"/>
  <c r="AM15" i="3" s="1"/>
  <c r="AN21" i="3"/>
  <c r="AN9" i="3"/>
  <c r="AP5" i="3"/>
  <c r="AP6" i="3" s="1"/>
  <c r="AO26" i="3"/>
  <c r="AO7" i="3"/>
  <c r="AL16" i="3"/>
  <c r="AL31" i="3"/>
  <c r="AQ5" i="3" l="1"/>
  <c r="AQ6" i="3" s="1"/>
  <c r="AP7" i="3"/>
  <c r="AP26" i="3"/>
  <c r="AL23" i="3"/>
  <c r="AL17" i="3"/>
  <c r="AL28" i="3"/>
  <c r="AL24" i="3"/>
  <c r="AL32" i="3"/>
  <c r="AO21" i="3"/>
  <c r="AO9" i="3"/>
  <c r="AM31" i="3"/>
  <c r="AN22" i="3"/>
  <c r="AN14" i="3"/>
  <c r="AN15" i="3" s="1"/>
  <c r="AN31" i="3" l="1"/>
  <c r="AN16" i="3"/>
  <c r="AM32" i="3"/>
  <c r="AM24" i="3"/>
  <c r="AP21" i="3"/>
  <c r="AP9" i="3"/>
  <c r="AO22" i="3"/>
  <c r="AO14" i="3"/>
  <c r="AO15" i="3" s="1"/>
  <c r="AR5" i="3"/>
  <c r="AR6" i="3" s="1"/>
  <c r="AQ26" i="3"/>
  <c r="AQ7" i="3"/>
  <c r="AM16" i="3"/>
  <c r="AQ21" i="3" l="1"/>
  <c r="AQ9" i="3"/>
  <c r="AN17" i="3"/>
  <c r="AN23" i="3"/>
  <c r="AN28" i="3"/>
  <c r="AP22" i="3"/>
  <c r="AP14" i="3"/>
  <c r="AP15" i="3" s="1"/>
  <c r="AR7" i="3"/>
  <c r="AS5" i="3"/>
  <c r="AS6" i="3" s="1"/>
  <c r="AR26" i="3"/>
  <c r="AN24" i="3"/>
  <c r="AN32" i="3"/>
  <c r="AM17" i="3"/>
  <c r="AM23" i="3"/>
  <c r="AM28" i="3"/>
  <c r="AO16" i="3"/>
  <c r="AO31" i="3"/>
  <c r="AP16" i="3" l="1"/>
  <c r="AP31" i="3"/>
  <c r="AS7" i="3"/>
  <c r="AT5" i="3"/>
  <c r="AT6" i="3" s="1"/>
  <c r="AS26" i="3"/>
  <c r="AQ14" i="3"/>
  <c r="AQ15" i="3" s="1"/>
  <c r="AQ22" i="3"/>
  <c r="AR9" i="3"/>
  <c r="AR21" i="3"/>
  <c r="AO17" i="3"/>
  <c r="AO28" i="3"/>
  <c r="AO23" i="3"/>
  <c r="AO32" i="3"/>
  <c r="AO24" i="3"/>
  <c r="AR14" i="3" l="1"/>
  <c r="AR15" i="3" s="1"/>
  <c r="AR22" i="3"/>
  <c r="AS9" i="3"/>
  <c r="AS21" i="3"/>
  <c r="AQ16" i="3"/>
  <c r="AQ31" i="3"/>
  <c r="AP23" i="3"/>
  <c r="AP28" i="3"/>
  <c r="AP17" i="3"/>
  <c r="AU5" i="3"/>
  <c r="AU6" i="3" s="1"/>
  <c r="AT26" i="3"/>
  <c r="AT7" i="3"/>
  <c r="AP24" i="3"/>
  <c r="AP32" i="3"/>
  <c r="AQ23" i="3" l="1"/>
  <c r="AQ17" i="3"/>
  <c r="AQ28" i="3"/>
  <c r="AQ32" i="3"/>
  <c r="AQ24" i="3"/>
  <c r="AS22" i="3"/>
  <c r="AS14" i="3"/>
  <c r="AS15" i="3" s="1"/>
  <c r="AT21" i="3"/>
  <c r="AT9" i="3"/>
  <c r="AU7" i="3"/>
  <c r="AV5" i="3"/>
  <c r="AV6" i="3" s="1"/>
  <c r="AU26" i="3"/>
  <c r="AR31" i="3"/>
  <c r="AW5" i="3" l="1"/>
  <c r="AW6" i="3" s="1"/>
  <c r="AV7" i="3"/>
  <c r="AV26" i="3"/>
  <c r="AS31" i="3"/>
  <c r="AS16" i="3"/>
  <c r="AR24" i="3"/>
  <c r="AR32" i="3"/>
  <c r="AU21" i="3"/>
  <c r="AU9" i="3"/>
  <c r="AR16" i="3"/>
  <c r="AT14" i="3"/>
  <c r="AT15" i="3" s="1"/>
  <c r="AT22" i="3"/>
  <c r="AS17" i="3" l="1"/>
  <c r="AS23" i="3"/>
  <c r="AS28" i="3"/>
  <c r="AR28" i="3"/>
  <c r="AR23" i="3"/>
  <c r="AR17" i="3"/>
  <c r="AU22" i="3"/>
  <c r="AU14" i="3"/>
  <c r="AU15" i="3" s="1"/>
  <c r="AW26" i="3"/>
  <c r="AW7" i="3"/>
  <c r="AX5" i="3"/>
  <c r="AX6" i="3" s="1"/>
  <c r="AV9" i="3"/>
  <c r="AV21" i="3"/>
  <c r="AS32" i="3"/>
  <c r="AS24" i="3"/>
  <c r="AT31" i="3"/>
  <c r="AT16" i="3"/>
  <c r="AU31" i="3" l="1"/>
  <c r="AY5" i="3"/>
  <c r="AY6" i="3" s="1"/>
  <c r="AX7" i="3"/>
  <c r="AX26" i="3"/>
  <c r="AT32" i="3"/>
  <c r="AT24" i="3"/>
  <c r="AW21" i="3"/>
  <c r="AW9" i="3"/>
  <c r="AV22" i="3"/>
  <c r="AV14" i="3"/>
  <c r="AV15" i="3" s="1"/>
  <c r="AT23" i="3"/>
  <c r="AT28" i="3"/>
  <c r="AT17" i="3"/>
  <c r="AY7" i="3" l="1"/>
  <c r="AZ5" i="3"/>
  <c r="AZ6" i="3" s="1"/>
  <c r="AY26" i="3"/>
  <c r="AU32" i="3"/>
  <c r="AU24" i="3"/>
  <c r="AX21" i="3"/>
  <c r="AX9" i="3"/>
  <c r="AU16" i="3"/>
  <c r="AW22" i="3"/>
  <c r="AW14" i="3"/>
  <c r="AW15" i="3" s="1"/>
  <c r="AV16" i="3"/>
  <c r="AV31" i="3"/>
  <c r="AZ26" i="3" l="1"/>
  <c r="AZ7" i="3"/>
  <c r="BA5" i="3"/>
  <c r="BA6" i="3" s="1"/>
  <c r="AW31" i="3"/>
  <c r="AX22" i="3"/>
  <c r="AX14" i="3"/>
  <c r="AX15" i="3" s="1"/>
  <c r="AV28" i="3"/>
  <c r="AV23" i="3"/>
  <c r="AV17" i="3"/>
  <c r="AY21" i="3"/>
  <c r="AY9" i="3"/>
  <c r="AU23" i="3"/>
  <c r="AU28" i="3"/>
  <c r="AU17" i="3"/>
  <c r="AV32" i="3"/>
  <c r="AV24" i="3"/>
  <c r="AZ21" i="3" l="1"/>
  <c r="AZ9" i="3"/>
  <c r="AX16" i="3"/>
  <c r="AX31" i="3"/>
  <c r="BA7" i="3"/>
  <c r="BB5" i="3"/>
  <c r="BB6" i="3" s="1"/>
  <c r="BA26" i="3"/>
  <c r="AW32" i="3"/>
  <c r="AW24" i="3"/>
  <c r="AY14" i="3"/>
  <c r="AY15" i="3" s="1"/>
  <c r="AY22" i="3"/>
  <c r="AW16" i="3"/>
  <c r="BA9" i="3" l="1"/>
  <c r="BA21" i="3"/>
  <c r="AX28" i="3"/>
  <c r="AX23" i="3"/>
  <c r="AX17" i="3"/>
  <c r="AY31" i="3"/>
  <c r="AX32" i="3"/>
  <c r="AX24" i="3"/>
  <c r="BB7" i="3"/>
  <c r="BB26" i="3"/>
  <c r="BC5" i="3"/>
  <c r="BC6" i="3" s="1"/>
  <c r="AZ14" i="3"/>
  <c r="AZ15" i="3" s="1"/>
  <c r="AZ22" i="3"/>
  <c r="AW23" i="3"/>
  <c r="AW17" i="3"/>
  <c r="AW28" i="3"/>
  <c r="V39" i="3"/>
  <c r="V41" i="3" s="1"/>
  <c r="V42" i="3" s="1"/>
  <c r="L27" i="2" s="1"/>
  <c r="AY32" i="3" l="1"/>
  <c r="AY24" i="3"/>
  <c r="BB21" i="3"/>
  <c r="BB9" i="3"/>
  <c r="AZ31" i="3"/>
  <c r="AZ16" i="3"/>
  <c r="AY16" i="3"/>
  <c r="BD5" i="3"/>
  <c r="BD6" i="3" s="1"/>
  <c r="BC26" i="3"/>
  <c r="BC7" i="3"/>
  <c r="BA22" i="3"/>
  <c r="BA14" i="3"/>
  <c r="BA15" i="3" s="1"/>
  <c r="AZ28" i="3" l="1"/>
  <c r="AZ17" i="3"/>
  <c r="AZ23" i="3"/>
  <c r="BB22" i="3"/>
  <c r="BB14" i="3"/>
  <c r="BB15" i="3" s="1"/>
  <c r="BD7" i="3"/>
  <c r="BE5" i="3"/>
  <c r="BE6" i="3" s="1"/>
  <c r="BD26" i="3"/>
  <c r="AZ24" i="3"/>
  <c r="AZ32" i="3"/>
  <c r="AY17" i="3"/>
  <c r="AY28" i="3"/>
  <c r="AY23" i="3"/>
  <c r="BC21" i="3"/>
  <c r="BC9" i="3"/>
  <c r="BA31" i="3"/>
  <c r="BA16" i="3"/>
  <c r="BC14" i="3" l="1"/>
  <c r="BC15" i="3" s="1"/>
  <c r="BC22" i="3"/>
  <c r="BB16" i="3"/>
  <c r="BB31" i="3"/>
  <c r="BA32" i="3"/>
  <c r="BA24" i="3"/>
  <c r="BD21" i="3"/>
  <c r="BD9" i="3"/>
  <c r="BA23" i="3"/>
  <c r="BA17" i="3"/>
  <c r="BA28" i="3"/>
  <c r="BE7" i="3"/>
  <c r="BE26" i="3"/>
  <c r="BF5" i="3"/>
  <c r="BF6" i="3" s="1"/>
  <c r="BB17" i="3" l="1"/>
  <c r="BB28" i="3"/>
  <c r="BB23" i="3"/>
  <c r="BF7" i="3"/>
  <c r="BF26" i="3"/>
  <c r="BG5" i="3"/>
  <c r="BG6" i="3" s="1"/>
  <c r="BB32" i="3"/>
  <c r="BB24" i="3"/>
  <c r="BE21" i="3"/>
  <c r="BE9" i="3"/>
  <c r="BD14" i="3"/>
  <c r="BD15" i="3" s="1"/>
  <c r="BD22" i="3"/>
  <c r="BC31" i="3"/>
  <c r="BC16" i="3"/>
  <c r="BF9" i="3" l="1"/>
  <c r="BF21" i="3"/>
  <c r="BE22" i="3"/>
  <c r="BE14" i="3"/>
  <c r="BE15" i="3" s="1"/>
  <c r="BC17" i="3"/>
  <c r="BC23" i="3"/>
  <c r="BC28" i="3"/>
  <c r="BD31" i="3"/>
  <c r="BC24" i="3"/>
  <c r="BC32" i="3"/>
  <c r="BG26" i="3"/>
  <c r="BH5" i="3"/>
  <c r="BH6" i="3" s="1"/>
  <c r="BG7" i="3"/>
  <c r="BG21" i="3" l="1"/>
  <c r="BG9" i="3"/>
  <c r="BE31" i="3"/>
  <c r="BD24" i="3"/>
  <c r="BD32" i="3"/>
  <c r="BH7" i="3"/>
  <c r="BI5" i="3"/>
  <c r="BI6" i="3" s="1"/>
  <c r="BH26" i="3"/>
  <c r="BD16" i="3"/>
  <c r="BF14" i="3"/>
  <c r="BF15" i="3" s="1"/>
  <c r="BF22" i="3"/>
  <c r="BH9" i="3" l="1"/>
  <c r="BH21" i="3"/>
  <c r="BE32" i="3"/>
  <c r="BE24" i="3"/>
  <c r="BD23" i="3"/>
  <c r="BD28" i="3"/>
  <c r="BD17" i="3"/>
  <c r="BF31" i="3"/>
  <c r="BF16" i="3"/>
  <c r="BE16" i="3"/>
  <c r="BG14" i="3"/>
  <c r="BG15" i="3" s="1"/>
  <c r="BG22" i="3"/>
  <c r="BJ5" i="3"/>
  <c r="BJ6" i="3" s="1"/>
  <c r="BI26" i="3"/>
  <c r="BI7" i="3"/>
  <c r="BK5" i="3" l="1"/>
  <c r="BK6" i="3" s="1"/>
  <c r="BJ7" i="3"/>
  <c r="BJ26" i="3"/>
  <c r="BI9" i="3"/>
  <c r="BI21" i="3"/>
  <c r="BG16" i="3"/>
  <c r="BG31" i="3"/>
  <c r="BE28" i="3"/>
  <c r="BE17" i="3"/>
  <c r="BE23" i="3"/>
  <c r="BF17" i="3"/>
  <c r="BF23" i="3"/>
  <c r="BF28" i="3"/>
  <c r="BF24" i="3"/>
  <c r="BF32" i="3"/>
  <c r="BH14" i="3"/>
  <c r="BH15" i="3" s="1"/>
  <c r="BH22" i="3"/>
  <c r="BJ9" i="3" l="1"/>
  <c r="BJ21" i="3"/>
  <c r="BG32" i="3"/>
  <c r="BG24" i="3"/>
  <c r="BL5" i="3"/>
  <c r="BL6" i="3" s="1"/>
  <c r="BK7" i="3"/>
  <c r="BK26" i="3"/>
  <c r="BH31" i="3"/>
  <c r="BH16" i="3"/>
  <c r="BG28" i="3"/>
  <c r="BG23" i="3"/>
  <c r="BG17" i="3"/>
  <c r="BI22" i="3"/>
  <c r="BI14" i="3"/>
  <c r="BI15" i="3" s="1"/>
  <c r="BI31" i="3" l="1"/>
  <c r="BI16" i="3"/>
  <c r="BK9" i="3"/>
  <c r="BK21" i="3"/>
  <c r="BH32" i="3"/>
  <c r="BH24" i="3"/>
  <c r="BJ14" i="3"/>
  <c r="BJ15" i="3" s="1"/>
  <c r="BJ22" i="3"/>
  <c r="BH28" i="3"/>
  <c r="BH17" i="3"/>
  <c r="BH23" i="3"/>
  <c r="BL7" i="3"/>
  <c r="BL26" i="3"/>
  <c r="BM5" i="3"/>
  <c r="BM6" i="3" s="1"/>
  <c r="BL9" i="3" l="1"/>
  <c r="BL21" i="3"/>
  <c r="BJ16" i="3"/>
  <c r="BJ31" i="3"/>
  <c r="BK14" i="3"/>
  <c r="BK15" i="3" s="1"/>
  <c r="BK22" i="3"/>
  <c r="BN5" i="3"/>
  <c r="BN6" i="3" s="1"/>
  <c r="BM7" i="3"/>
  <c r="BM26" i="3"/>
  <c r="BI32" i="3"/>
  <c r="BI24" i="3"/>
  <c r="BI23" i="3"/>
  <c r="BI17" i="3"/>
  <c r="BI28" i="3"/>
  <c r="BK31" i="3" l="1"/>
  <c r="BK16" i="3"/>
  <c r="BJ23" i="3"/>
  <c r="BJ28" i="3"/>
  <c r="BJ17" i="3"/>
  <c r="BM21" i="3"/>
  <c r="BM9" i="3"/>
  <c r="BN26" i="3"/>
  <c r="BO5" i="3"/>
  <c r="BO6" i="3" s="1"/>
  <c r="BN7" i="3"/>
  <c r="BJ32" i="3"/>
  <c r="BJ24" i="3"/>
  <c r="BL14" i="3"/>
  <c r="BL15" i="3" s="1"/>
  <c r="BL22" i="3"/>
  <c r="BN9" i="3" l="1"/>
  <c r="BN21" i="3"/>
  <c r="BO26" i="3"/>
  <c r="BO7" i="3"/>
  <c r="BP5" i="3"/>
  <c r="BP6" i="3" s="1"/>
  <c r="BL16" i="3"/>
  <c r="BL31" i="3"/>
  <c r="BK17" i="3"/>
  <c r="BK28" i="3"/>
  <c r="BK23" i="3"/>
  <c r="BK24" i="3"/>
  <c r="BK32" i="3"/>
  <c r="BM14" i="3"/>
  <c r="BM15" i="3" s="1"/>
  <c r="BM22" i="3"/>
  <c r="BO21" i="3" l="1"/>
  <c r="BO9" i="3"/>
  <c r="BP7" i="3"/>
  <c r="BP26" i="3"/>
  <c r="BL17" i="3"/>
  <c r="BL23" i="3"/>
  <c r="BL28" i="3"/>
  <c r="BM16" i="3"/>
  <c r="BM31" i="3"/>
  <c r="BL32" i="3"/>
  <c r="BL24" i="3"/>
  <c r="BN14" i="3"/>
  <c r="BN15" i="3" s="1"/>
  <c r="BN22" i="3"/>
  <c r="BP9" i="3" l="1"/>
  <c r="BP21" i="3"/>
  <c r="BM28" i="3"/>
  <c r="BM23" i="3"/>
  <c r="BM17" i="3"/>
  <c r="BM32" i="3"/>
  <c r="BM24" i="3"/>
  <c r="BO14" i="3"/>
  <c r="BO15" i="3" s="1"/>
  <c r="BO22" i="3"/>
  <c r="BN16" i="3"/>
  <c r="BN31" i="3"/>
  <c r="BN32" i="3" l="1"/>
  <c r="BN24" i="3"/>
  <c r="BO16" i="3"/>
  <c r="BO31" i="3"/>
  <c r="BN28" i="3"/>
  <c r="BN17" i="3"/>
  <c r="BN23" i="3"/>
  <c r="BP14" i="3"/>
  <c r="BP15" i="3" s="1"/>
  <c r="BP22" i="3"/>
  <c r="BO28" i="3" l="1"/>
  <c r="BO17" i="3"/>
  <c r="BO23" i="3"/>
  <c r="BO32" i="3"/>
  <c r="BO24" i="3"/>
  <c r="BP31" i="3"/>
  <c r="BP24" i="3" l="1"/>
  <c r="BP32" i="3"/>
  <c r="BP16" i="3"/>
  <c r="BP28" i="3" l="1"/>
  <c r="BP23" i="3"/>
  <c r="BP17" i="3"/>
  <c r="Q33" i="3"/>
  <c r="R33" i="3"/>
  <c r="S33" i="3"/>
  <c r="U33" i="3"/>
  <c r="V33" i="3"/>
  <c r="W33" i="3"/>
  <c r="W36" i="3" s="1"/>
  <c r="W37" i="3" s="1"/>
  <c r="X33" i="3"/>
  <c r="X36" i="3" s="1"/>
  <c r="X37" i="3" s="1"/>
  <c r="Y33" i="3"/>
  <c r="Y36" i="3" s="1"/>
  <c r="Y37" i="3" s="1"/>
  <c r="Z33" i="3"/>
  <c r="Z36" i="3" s="1"/>
  <c r="Z37" i="3" s="1"/>
  <c r="AA33" i="3"/>
  <c r="AA36" i="3" s="1"/>
  <c r="AA37" i="3" s="1"/>
  <c r="AB33" i="3"/>
  <c r="AB36" i="3" s="1"/>
  <c r="AC33" i="3"/>
  <c r="AC36" i="3" s="1"/>
  <c r="AC37" i="3" s="1"/>
  <c r="AD33" i="3"/>
  <c r="AD36" i="3" s="1"/>
  <c r="AD37" i="3" s="1"/>
  <c r="AE33" i="3"/>
  <c r="AE36" i="3" s="1"/>
  <c r="AE37" i="3" s="1"/>
  <c r="AF33" i="3"/>
  <c r="AF36" i="3" s="1"/>
  <c r="AF37" i="3" s="1"/>
  <c r="AG33" i="3"/>
  <c r="AG36" i="3" s="1"/>
  <c r="AG37" i="3" s="1"/>
  <c r="AH33" i="3"/>
  <c r="AH36" i="3" s="1"/>
  <c r="AH37" i="3" s="1"/>
  <c r="AI33" i="3"/>
  <c r="AI36" i="3" s="1"/>
  <c r="AI37" i="3" s="1"/>
  <c r="AJ33" i="3"/>
  <c r="AJ36" i="3" s="1"/>
  <c r="AJ37" i="3" s="1"/>
  <c r="AK33" i="3"/>
  <c r="AK36" i="3" s="1"/>
  <c r="AK37" i="3" s="1"/>
  <c r="AL33" i="3"/>
  <c r="AL36" i="3" s="1"/>
  <c r="AL37" i="3" s="1"/>
  <c r="AM33" i="3"/>
  <c r="AM36" i="3" s="1"/>
  <c r="AM37" i="3" s="1"/>
  <c r="AN33" i="3"/>
  <c r="AN36" i="3" s="1"/>
  <c r="AN37" i="3" s="1"/>
  <c r="AO33" i="3"/>
  <c r="AO36" i="3" s="1"/>
  <c r="AO37" i="3" s="1"/>
  <c r="AP33" i="3"/>
  <c r="AP36" i="3" s="1"/>
  <c r="AP37" i="3" s="1"/>
  <c r="AQ33" i="3"/>
  <c r="AQ36" i="3" s="1"/>
  <c r="AQ37" i="3" s="1"/>
  <c r="AR33" i="3"/>
  <c r="AR36" i="3" s="1"/>
  <c r="AR37" i="3" s="1"/>
  <c r="AS33" i="3"/>
  <c r="AS36" i="3" s="1"/>
  <c r="AS37" i="3" s="1"/>
  <c r="AT33" i="3"/>
  <c r="AT36" i="3" s="1"/>
  <c r="AT37" i="3" s="1"/>
  <c r="AU33" i="3"/>
  <c r="AV33" i="3"/>
  <c r="AW33" i="3"/>
  <c r="AX33" i="3"/>
  <c r="AY33" i="3"/>
  <c r="AZ33" i="3"/>
  <c r="BA33" i="3"/>
  <c r="BB33" i="3"/>
  <c r="BB36" i="3" s="1"/>
  <c r="BB37" i="3" s="1"/>
  <c r="BC33" i="3"/>
  <c r="BC36" i="3" s="1"/>
  <c r="BC37" i="3" s="1"/>
  <c r="BD33" i="3"/>
  <c r="BD36" i="3" s="1"/>
  <c r="BD37" i="3" s="1"/>
  <c r="BE33" i="3"/>
  <c r="BE36" i="3" s="1"/>
  <c r="BE37" i="3" s="1"/>
  <c r="BF33" i="3"/>
  <c r="BF36" i="3" s="1"/>
  <c r="BF37" i="3" s="1"/>
  <c r="BG33" i="3"/>
  <c r="BG36" i="3" s="1"/>
  <c r="BG37" i="3" s="1"/>
  <c r="BH33" i="3"/>
  <c r="BH36" i="3" s="1"/>
  <c r="BH37" i="3" s="1"/>
  <c r="BI33" i="3"/>
  <c r="BI36" i="3" s="1"/>
  <c r="BI37" i="3" s="1"/>
  <c r="BJ33" i="3"/>
  <c r="BJ36" i="3" s="1"/>
  <c r="BJ37" i="3" s="1"/>
  <c r="BK33" i="3"/>
  <c r="BK36" i="3" s="1"/>
  <c r="BK37" i="3" s="1"/>
  <c r="BL33" i="3"/>
  <c r="BL36" i="3" s="1"/>
  <c r="BL37" i="3" s="1"/>
  <c r="BM33" i="3"/>
  <c r="BM36" i="3" s="1"/>
  <c r="BM37" i="3" s="1"/>
  <c r="BN33" i="3"/>
  <c r="BN36" i="3" s="1"/>
  <c r="BN37" i="3" s="1"/>
  <c r="BO33" i="3"/>
  <c r="BO36" i="3" s="1"/>
  <c r="BO37" i="3" s="1"/>
  <c r="BP33" i="3"/>
  <c r="BP36" i="3" s="1"/>
  <c r="BP37" i="3" s="1"/>
  <c r="Q34" i="3"/>
  <c r="R34" i="3"/>
  <c r="S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Q35" i="3"/>
  <c r="R35" i="3"/>
  <c r="S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Q36" i="3"/>
  <c r="V36" i="3" s="1"/>
  <c r="R36" i="3"/>
  <c r="S36" i="3"/>
  <c r="U36" i="3"/>
  <c r="AU36" i="3"/>
  <c r="AU37" i="3" s="1"/>
  <c r="AV36" i="3"/>
  <c r="AV37" i="3" s="1"/>
  <c r="AW36" i="3"/>
  <c r="AW37" i="3" s="1"/>
  <c r="AX36" i="3"/>
  <c r="AX37" i="3" s="1"/>
  <c r="AY36" i="3"/>
  <c r="AY37" i="3" s="1"/>
  <c r="AZ36" i="3"/>
  <c r="AZ37" i="3" s="1"/>
  <c r="BA36" i="3"/>
  <c r="BA37" i="3" s="1"/>
  <c r="R39" i="3"/>
  <c r="R40" i="3"/>
  <c r="R41" i="3"/>
  <c r="AB38" i="3" l="1"/>
  <c r="AB39" i="3"/>
  <c r="AB40" i="3" s="1"/>
  <c r="AB37" i="3"/>
  <c r="AB41" i="3"/>
  <c r="AB44" i="3" s="1"/>
  <c r="AB46" i="3" s="1"/>
  <c r="AB48" i="3" l="1"/>
  <c r="E4" i="7"/>
  <c r="L3" i="7" s="1"/>
  <c r="K27" i="2"/>
  <c r="K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<sst xmlns="http://schemas.openxmlformats.org/spreadsheetml/2006/main" count="269" uniqueCount="216">
  <si>
    <t>Name</t>
  </si>
  <si>
    <t>Symbol</t>
  </si>
  <si>
    <t>Value</t>
  </si>
  <si>
    <t>Market Cap</t>
  </si>
  <si>
    <t>E</t>
  </si>
  <si>
    <t>Book Value of Debt</t>
  </si>
  <si>
    <t>D</t>
  </si>
  <si>
    <t>Market Cap + Market Value of Debt</t>
  </si>
  <si>
    <t>V</t>
  </si>
  <si>
    <t>Cost of debt (pretax)</t>
  </si>
  <si>
    <t>Kd</t>
  </si>
  <si>
    <t>Corportate tax rate</t>
  </si>
  <si>
    <t>Tc</t>
  </si>
  <si>
    <t>Risk free rate</t>
  </si>
  <si>
    <t>Rf</t>
  </si>
  <si>
    <t>price</t>
  </si>
  <si>
    <t>Beta</t>
  </si>
  <si>
    <t>B</t>
  </si>
  <si>
    <t>c</t>
  </si>
  <si>
    <t>Market Return</t>
  </si>
  <si>
    <t>Rm</t>
  </si>
  <si>
    <t>fv</t>
  </si>
  <si>
    <t>Cost of equity</t>
  </si>
  <si>
    <t>Re</t>
  </si>
  <si>
    <t>n</t>
  </si>
  <si>
    <t>ytm</t>
  </si>
  <si>
    <t>Weight of Equity</t>
  </si>
  <si>
    <t>Weight of Debt</t>
  </si>
  <si>
    <t>WACC = (E / V) × Re + (D / V) × Kd × (1 − Tc)</t>
  </si>
  <si>
    <t>Kd = Interest expense / Total Debt</t>
  </si>
  <si>
    <t>Re = Rf + B x (Rm - Rf)</t>
  </si>
  <si>
    <t>D = C[(1 – (1/((1 + Kd)^t)))/Kd] + [FV/((1 + Kd)^t)]</t>
  </si>
  <si>
    <t>Model is kind of sloppy but  it does the job F2 your way thru E1Q25 to see where the assumptions are.</t>
  </si>
  <si>
    <t>WACC</t>
  </si>
  <si>
    <t>DCF</t>
  </si>
  <si>
    <t>Net Inc</t>
  </si>
  <si>
    <t>Stock Price</t>
  </si>
  <si>
    <t>Cash</t>
  </si>
  <si>
    <t>Annual Interest Expense</t>
  </si>
  <si>
    <t>IE</t>
  </si>
  <si>
    <t>Net Income</t>
  </si>
  <si>
    <t>Weighted Average Cost of Capital</t>
  </si>
  <si>
    <t>Terminal Growth Rate</t>
  </si>
  <si>
    <t>TGR</t>
  </si>
  <si>
    <t>The NPV of Future Net Income Method uses WACC to discount all cash flows into the future, while TGR is used as the growth rate of revenue after 5-10 years.</t>
  </si>
  <si>
    <t>Income Statement</t>
  </si>
  <si>
    <t>1Q22</t>
  </si>
  <si>
    <t>2Q22</t>
  </si>
  <si>
    <t>3Q22</t>
  </si>
  <si>
    <t>4Q22</t>
  </si>
  <si>
    <t>2022FY</t>
  </si>
  <si>
    <t>1Q23</t>
  </si>
  <si>
    <t>2Q23</t>
  </si>
  <si>
    <t>3Q23</t>
  </si>
  <si>
    <t>4Q23</t>
  </si>
  <si>
    <t>2023FY</t>
  </si>
  <si>
    <t>1Q24</t>
  </si>
  <si>
    <t>2Q24</t>
  </si>
  <si>
    <t>3Q24</t>
  </si>
  <si>
    <t>E4Q24</t>
  </si>
  <si>
    <t>E2024FY</t>
  </si>
  <si>
    <t>E1Q25</t>
  </si>
  <si>
    <t>E2Q25</t>
  </si>
  <si>
    <t>E3Q25</t>
  </si>
  <si>
    <t>E4Q25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</si>
  <si>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</si>
  <si>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</si>
  <si>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</si>
  <si>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</si>
  <si>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</si>
  <si>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</si>
  <si>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</si>
  <si>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</si>
  <si>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</si>
  <si>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</si>
  <si>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</si>
  <si>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</si>
  <si>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</si>
  <si>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</si>
  <si>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</si>
  <si>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</si>
  <si>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</si>
  <si>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</si>
  <si>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</si>
  <si>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</si>
  <si>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</si>
  <si>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</si>
  <si>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</si>
  <si>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</si>
  <si>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</si>
  <si>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</si>
  <si>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</si>
  <si>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</si>
  <si>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Revenue</t>
  </si>
  <si>
    <t>COGS</t>
  </si>
  <si>
    <t>Gross Profit</t>
  </si>
  <si>
    <t>SGA</t>
  </si>
  <si>
    <t>Operating Income</t>
  </si>
  <si>
    <t>Interest Income on Note</t>
  </si>
  <si>
    <t>Interest Income</t>
  </si>
  <si>
    <t>Forex Gain (loss)</t>
  </si>
  <si>
    <t>Total Other Income</t>
  </si>
  <si>
    <t>Pretax Income</t>
  </si>
  <si>
    <t>Tax</t>
  </si>
  <si>
    <t>EPS</t>
  </si>
  <si>
    <t>Shares (Diluted)</t>
  </si>
  <si>
    <t>Gross Margin</t>
  </si>
  <si>
    <t>Operating Margin</t>
  </si>
  <si>
    <t>Net Margin</t>
  </si>
  <si>
    <t>Tax Rate</t>
  </si>
  <si>
    <t>YoY Revenue</t>
  </si>
  <si>
    <t>QoQ Revenue</t>
  </si>
  <si>
    <t>YoY Net Income</t>
  </si>
  <si>
    <t>QoQ Net Income</t>
  </si>
  <si>
    <t>EBIT</t>
  </si>
  <si>
    <t>Remove Tax</t>
  </si>
  <si>
    <t>Add D&amp;A</t>
  </si>
  <si>
    <t>Remove Capex</t>
  </si>
  <si>
    <t>Change in NWC</t>
  </si>
  <si>
    <t>UFCF</t>
  </si>
  <si>
    <t>NWC % Rev</t>
  </si>
  <si>
    <t>Revenue growth</t>
  </si>
  <si>
    <t>Terminal Value</t>
  </si>
  <si>
    <t>D&amp;A % Rev</t>
  </si>
  <si>
    <t>PV of Terminal Value</t>
  </si>
  <si>
    <t>Capex % of Rev</t>
  </si>
  <si>
    <t>EV</t>
  </si>
  <si>
    <t>SGA % of Rev</t>
  </si>
  <si>
    <t xml:space="preserve"> + Cash</t>
  </si>
  <si>
    <t>Interest Income % of Rev</t>
  </si>
  <si>
    <t xml:space="preserve"> - Debt</t>
  </si>
  <si>
    <t>Equity Value</t>
  </si>
  <si>
    <t>Q/Q SGA</t>
  </si>
  <si>
    <t>Shares</t>
  </si>
  <si>
    <t>Target Price</t>
  </si>
  <si>
    <t>Price</t>
  </si>
  <si>
    <t>Upside</t>
  </si>
  <si>
    <t>For the quarter ended September 30, 2024, selling, general and administrative ("SG&amp;A") expenses totaled approximately $125.4 million, up 30% or $29.0 million from $96.4 million for the third quarter of 2023.</t>
  </si>
  <si>
    <t>The increase in SG&amp;A expenses primarily consisted of:</t>
  </si>
  <si>
    <t>a $17.5 million increase in marketing investments;</t>
  </si>
  <si>
    <t>a $9.3 million increase in employee costs, reflecting our ongoing investments to support growth; and</t>
  </si>
  <si>
    <t>a $2.2 million increase in other SG&amp;A expenses.</t>
  </si>
  <si>
    <t>For the quarter ended June 30, 2024, selling, general and administrative ("SG&amp;A") expenses totaled approximately $114.9 million, up 22% or $20.7 million from $94.2 million for the second quarter of 2023.</t>
  </si>
  <si>
    <t>The breakdown of changes within SG&amp;A primarily consisted of:</t>
  </si>
  <si>
    <t>•a $22.9 million increase in marketing investments;</t>
  </si>
  <si>
    <t>•a $9.7 million increase in employee costs, reflecting our ongoing investments to support growth;</t>
  </si>
  <si>
    <t>•a $10.4 million decrease in general administrative costs primarily due to lower consulting fees;</t>
  </si>
  <si>
    <t>•a $1.0 million decrease in stock-based compensation driven by certain stock options being fully expensed in prior periods; and</t>
  </si>
  <si>
    <t>•a $0.5 million decrease in other SG&amp;A expenses, including storage, research and development, and depreciation.</t>
  </si>
  <si>
    <t>CF Statement</t>
  </si>
  <si>
    <t>Cash flows from operating activities:</t>
  </si>
  <si>
    <t>Net Income (loss)</t>
  </si>
  <si>
    <t>D&amp;A</t>
  </si>
  <si>
    <t>Impairment of intangible assets</t>
  </si>
  <si>
    <t>Allowance for credit losses</t>
  </si>
  <si>
    <t>Amortizationn of deferred other costs</t>
  </si>
  <si>
    <t>Inventory excess and obsolescence</t>
  </si>
  <si>
    <t>Loss on disposal of  pp&amp;e</t>
  </si>
  <si>
    <t>Share-based payment expense</t>
  </si>
  <si>
    <t>Deferred income taxes</t>
  </si>
  <si>
    <t>Forex loss</t>
  </si>
  <si>
    <t>Changes in assets and liabilities:</t>
  </si>
  <si>
    <t>A/R net</t>
  </si>
  <si>
    <t>Inventory net</t>
  </si>
  <si>
    <t>Prepaid expenses &amp; other current assets</t>
  </si>
  <si>
    <t>A/P &amp; accrued expenses</t>
  </si>
  <si>
    <t>Income taxes payable</t>
  </si>
  <si>
    <t>Accrued promotional allowance</t>
  </si>
  <si>
    <t>Accrued distributer termination fees</t>
  </si>
  <si>
    <t>Other current liabilities</t>
  </si>
  <si>
    <t>Change in right of use and lease obligation net</t>
  </si>
  <si>
    <t>Deferred revenue</t>
  </si>
  <si>
    <t>Other long term liabilities</t>
  </si>
  <si>
    <t>Other assets</t>
  </si>
  <si>
    <t>Net cash provided by operating activities:</t>
  </si>
  <si>
    <t>Cash flows from investing activities:</t>
  </si>
  <si>
    <t>Proceeds from notes receivable</t>
  </si>
  <si>
    <t>Purchase of pp&amp;e</t>
  </si>
  <si>
    <t>Purchase of non-marketable equity securities</t>
  </si>
  <si>
    <t>Net cash used for investing activities:</t>
  </si>
  <si>
    <t>Net cash provided by financing activities:</t>
  </si>
  <si>
    <t>Principal paymernts on finance lease obligations</t>
  </si>
  <si>
    <t>Proceeds from exercise of stock options</t>
  </si>
  <si>
    <t>Proceeds from issuance of preferred shares net</t>
  </si>
  <si>
    <t>Dividends paid on preferred shares</t>
  </si>
  <si>
    <t>Repurchase of common stock</t>
  </si>
  <si>
    <t>Forex adjustment</t>
  </si>
  <si>
    <t>Net increase in cash</t>
  </si>
  <si>
    <t>Cash, cash equivalents and restricted cash - Beginning of period</t>
  </si>
  <si>
    <t>Cash, cash equivalents and restricted cash - End of period</t>
  </si>
  <si>
    <t>Check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</si>
  <si>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</si>
  <si>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</si>
  <si>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</si>
  <si>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</si>
  <si>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</si>
  <si>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</si>
  <si>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</si>
  <si>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</si>
  <si>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</si>
  <si>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</si>
  <si>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</si>
  <si>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</si>
  <si>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</si>
  <si>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</si>
  <si>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</si>
  <si>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</si>
  <si>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</si>
  <si>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</si>
  <si>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Sum of PV of Terminal Cash flows</t>
  </si>
  <si>
    <t>rev growth</t>
  </si>
  <si>
    <t>growth rate</t>
  </si>
  <si>
    <t>discount</t>
  </si>
  <si>
    <t>cash</t>
  </si>
  <si>
    <t>debt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</si>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</sst>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* #,##0.00\ &quot;M&quot;"/>
    <numFmt numFmtId="165" formatCode="_(* #,##0.000_);_(* \(#,##0.000\);_(* &quot;-&quot;??_);_(@_)"/>
    <numFmt numFmtId="166" formatCode="0.0000"/>
    <numFmt numFmtId="167" formatCode="&quot;$&quot;#,##0.00"/>
    <numFmt numFmtId="168" formatCode="_(* #,##0_);_(* \(#,##0\);_(* &quot;-&quot;??_);_(@_)"/>
    <numFmt numFmtId="169" formatCode="0.0%"/>
    <numFmt numFmtId="170" formatCode="&quot;E&quot;###"/>
    <numFmt numFmtId="171" formatCode="_([$$-409]* #,##0.00_);_([$$-409]* \(#,##0.00\);_([$$-409]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rgb="FFFFC000"/>
      </right>
      <top/>
      <bottom/>
      <diagonal/>
    </border>
    <border>
      <left/>
      <right style="thick">
        <color rgb="FFFFC000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rgb="FFFFC000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ck">
        <color rgb="FFFFC000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 style="thick">
        <color rgb="FFFFC000"/>
      </left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rgb="FFFFC000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ck">
        <color rgb="FFFFC000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0">
    <xf numFmtId="0" fontId="0" fillId="0" borderId="0" xfId="0"/>
    <xf numFmtId="1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64" fontId="0" fillId="2" borderId="2" xfId="1" applyNumberFormat="1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3" fontId="0" fillId="0" borderId="0" xfId="2" applyFont="1"/>
    <xf numFmtId="165" fontId="0" fillId="0" borderId="0" xfId="2" applyNumberFormat="1" applyFont="1"/>
    <xf numFmtId="164" fontId="2" fillId="2" borderId="1" xfId="1" applyNumberFormat="1" applyFont="1" applyFill="1" applyBorder="1"/>
    <xf numFmtId="164" fontId="2" fillId="2" borderId="2" xfId="1" applyNumberFormat="1" applyFont="1" applyFill="1" applyBorder="1"/>
    <xf numFmtId="2" fontId="0" fillId="0" borderId="0" xfId="0" applyNumberFormat="1"/>
    <xf numFmtId="2" fontId="0" fillId="2" borderId="2" xfId="1" applyNumberFormat="1" applyFont="1" applyFill="1" applyBorder="1"/>
    <xf numFmtId="166" fontId="0" fillId="0" borderId="0" xfId="0" applyNumberFormat="1"/>
    <xf numFmtId="10" fontId="0" fillId="2" borderId="2" xfId="3" applyNumberFormat="1" applyFont="1" applyFill="1" applyBorder="1"/>
    <xf numFmtId="10" fontId="0" fillId="0" borderId="0" xfId="3" applyNumberFormat="1" applyFont="1"/>
    <xf numFmtId="8" fontId="0" fillId="0" borderId="0" xfId="0" applyNumberFormat="1"/>
    <xf numFmtId="10" fontId="0" fillId="3" borderId="3" xfId="3" applyNumberFormat="1" applyFont="1" applyFill="1" applyBorder="1"/>
    <xf numFmtId="0" fontId="0" fillId="0" borderId="10" xfId="0" applyBorder="1"/>
    <xf numFmtId="0" fontId="0" fillId="0" borderId="12" xfId="0" applyBorder="1"/>
    <xf numFmtId="0" fontId="3" fillId="0" borderId="0" xfId="0" applyFont="1"/>
    <xf numFmtId="168" fontId="0" fillId="0" borderId="0" xfId="2" applyNumberFormat="1" applyFont="1"/>
    <xf numFmtId="168" fontId="1" fillId="0" borderId="0" xfId="2" applyNumberFormat="1" applyFont="1"/>
    <xf numFmtId="168" fontId="0" fillId="0" borderId="0" xfId="0" applyNumberFormat="1"/>
    <xf numFmtId="0" fontId="2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168" fontId="2" fillId="0" borderId="0" xfId="0" applyNumberFormat="1" applyFont="1"/>
    <xf numFmtId="168" fontId="2" fillId="0" borderId="0" xfId="2" applyNumberFormat="1" applyFont="1" applyAlignment="1">
      <alignment horizontal="center"/>
    </xf>
    <xf numFmtId="168" fontId="2" fillId="0" borderId="14" xfId="2" applyNumberFormat="1" applyFont="1" applyBorder="1" applyAlignment="1">
      <alignment horizontal="center"/>
    </xf>
    <xf numFmtId="168" fontId="2" fillId="0" borderId="0" xfId="2" applyNumberFormat="1" applyFont="1"/>
    <xf numFmtId="0" fontId="2" fillId="0" borderId="12" xfId="0" applyFont="1" applyBorder="1" applyAlignment="1">
      <alignment horizontal="left" indent="4"/>
    </xf>
    <xf numFmtId="0" fontId="2" fillId="0" borderId="0" xfId="0" applyFont="1"/>
    <xf numFmtId="168" fontId="4" fillId="0" borderId="0" xfId="2" applyNumberFormat="1" applyFont="1" applyAlignment="1">
      <alignment horizontal="center"/>
    </xf>
    <xf numFmtId="168" fontId="4" fillId="0" borderId="14" xfId="2" applyNumberFormat="1" applyFont="1" applyBorder="1" applyAlignment="1">
      <alignment horizontal="center"/>
    </xf>
    <xf numFmtId="168" fontId="4" fillId="0" borderId="0" xfId="2" applyNumberFormat="1" applyFont="1"/>
    <xf numFmtId="168" fontId="4" fillId="0" borderId="0" xfId="0" applyNumberFormat="1" applyFont="1"/>
    <xf numFmtId="0" fontId="2" fillId="0" borderId="12" xfId="0" applyFont="1" applyBorder="1"/>
    <xf numFmtId="44" fontId="2" fillId="0" borderId="0" xfId="0" applyNumberFormat="1" applyFont="1"/>
    <xf numFmtId="0" fontId="2" fillId="0" borderId="14" xfId="0" applyFont="1" applyBorder="1"/>
    <xf numFmtId="10" fontId="2" fillId="0" borderId="0" xfId="0" applyNumberFormat="1" applyFont="1"/>
    <xf numFmtId="0" fontId="4" fillId="0" borderId="12" xfId="0" applyFont="1" applyBorder="1" applyAlignment="1">
      <alignment horizontal="left" indent="7"/>
    </xf>
    <xf numFmtId="0" fontId="4" fillId="0" borderId="0" xfId="0" applyFont="1"/>
    <xf numFmtId="0" fontId="4" fillId="0" borderId="12" xfId="0" applyFont="1" applyBorder="1"/>
    <xf numFmtId="0" fontId="2" fillId="5" borderId="10" xfId="0" applyFont="1" applyFill="1" applyBorder="1" applyAlignment="1">
      <alignment horizontal="center"/>
    </xf>
    <xf numFmtId="10" fontId="2" fillId="0" borderId="0" xfId="3" applyNumberFormat="1" applyFont="1" applyBorder="1"/>
    <xf numFmtId="168" fontId="2" fillId="0" borderId="17" xfId="0" applyNumberFormat="1" applyFont="1" applyBorder="1"/>
    <xf numFmtId="168" fontId="2" fillId="0" borderId="17" xfId="2" applyNumberFormat="1" applyFont="1" applyBorder="1"/>
    <xf numFmtId="10" fontId="2" fillId="0" borderId="17" xfId="3" applyNumberFormat="1" applyFont="1" applyBorder="1"/>
    <xf numFmtId="44" fontId="0" fillId="0" borderId="0" xfId="0" applyNumberFormat="1"/>
    <xf numFmtId="0" fontId="0" fillId="0" borderId="14" xfId="0" applyBorder="1"/>
    <xf numFmtId="10" fontId="0" fillId="0" borderId="14" xfId="0" applyNumberFormat="1" applyBorder="1"/>
    <xf numFmtId="169" fontId="0" fillId="0" borderId="0" xfId="3" applyNumberFormat="1" applyFont="1"/>
    <xf numFmtId="168" fontId="1" fillId="0" borderId="0" xfId="2" applyNumberFormat="1" applyFont="1" applyAlignment="1">
      <alignment wrapText="1"/>
    </xf>
    <xf numFmtId="10" fontId="2" fillId="0" borderId="0" xfId="3" applyNumberFormat="1" applyFont="1" applyBorder="1" applyAlignment="1">
      <alignment horizontal="right"/>
    </xf>
    <xf numFmtId="0" fontId="2" fillId="0" borderId="17" xfId="0" applyFont="1" applyBorder="1"/>
    <xf numFmtId="168" fontId="4" fillId="0" borderId="17" xfId="2" applyNumberFormat="1" applyFont="1" applyBorder="1"/>
    <xf numFmtId="10" fontId="3" fillId="0" borderId="0" xfId="0" applyNumberFormat="1" applyFont="1"/>
    <xf numFmtId="168" fontId="2" fillId="0" borderId="18" xfId="0" applyNumberFormat="1" applyFont="1" applyBorder="1"/>
    <xf numFmtId="9" fontId="0" fillId="0" borderId="0" xfId="3" applyFont="1"/>
    <xf numFmtId="168" fontId="2" fillId="0" borderId="0" xfId="2" applyNumberFormat="1" applyFont="1" applyBorder="1"/>
    <xf numFmtId="168" fontId="2" fillId="0" borderId="19" xfId="0" applyNumberFormat="1" applyFont="1" applyBorder="1"/>
    <xf numFmtId="168" fontId="2" fillId="0" borderId="20" xfId="0" applyNumberFormat="1" applyFont="1" applyBorder="1"/>
    <xf numFmtId="0" fontId="2" fillId="0" borderId="20" xfId="0" applyFont="1" applyBorder="1"/>
    <xf numFmtId="168" fontId="2" fillId="0" borderId="21" xfId="0" applyNumberFormat="1" applyFont="1" applyBorder="1"/>
    <xf numFmtId="43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0" fillId="0" borderId="16" xfId="0" applyBorder="1"/>
    <xf numFmtId="43" fontId="0" fillId="0" borderId="16" xfId="2" applyFont="1" applyBorder="1"/>
    <xf numFmtId="167" fontId="0" fillId="0" borderId="0" xfId="0" applyNumberFormat="1"/>
    <xf numFmtId="171" fontId="0" fillId="0" borderId="0" xfId="0" applyNumberFormat="1"/>
    <xf numFmtId="43" fontId="0" fillId="0" borderId="2" xfId="2" applyFont="1" applyBorder="1"/>
    <xf numFmtId="0" fontId="0" fillId="0" borderId="2" xfId="0" applyBorder="1"/>
    <xf numFmtId="0" fontId="0" fillId="0" borderId="8" xfId="0" applyBorder="1"/>
    <xf numFmtId="167" fontId="2" fillId="0" borderId="2" xfId="1" applyNumberFormat="1" applyFont="1" applyFill="1" applyBorder="1"/>
    <xf numFmtId="167" fontId="0" fillId="0" borderId="2" xfId="1" applyNumberFormat="1" applyFont="1" applyFill="1" applyBorder="1"/>
    <xf numFmtId="10" fontId="0" fillId="0" borderId="2" xfId="3" applyNumberFormat="1" applyFont="1" applyFill="1" applyBorder="1"/>
    <xf numFmtId="2" fontId="0" fillId="0" borderId="2" xfId="1" applyNumberFormat="1" applyFont="1" applyFill="1" applyBorder="1"/>
    <xf numFmtId="0" fontId="0" fillId="4" borderId="22" xfId="0" applyFill="1" applyBorder="1"/>
    <xf numFmtId="0" fontId="0" fillId="4" borderId="23" xfId="0" applyFill="1" applyBorder="1"/>
    <xf numFmtId="171" fontId="0" fillId="4" borderId="24" xfId="0" applyNumberFormat="1" applyFill="1" applyBorder="1"/>
    <xf numFmtId="168" fontId="2" fillId="6" borderId="0" xfId="2" applyNumberFormat="1" applyFont="1" applyFill="1"/>
    <xf numFmtId="0" fontId="0" fillId="0" borderId="0" xfId="0" applyAlignment="1">
      <alignment wrapText="1"/>
    </xf>
    <xf numFmtId="0" fontId="4" fillId="0" borderId="27" xfId="0" applyFont="1" applyBorder="1"/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170" fontId="4" fillId="0" borderId="29" xfId="0" applyNumberFormat="1" applyFont="1" applyBorder="1" applyAlignment="1">
      <alignment horizontal="center"/>
    </xf>
    <xf numFmtId="170" fontId="4" fillId="0" borderId="30" xfId="0" applyNumberFormat="1" applyFont="1" applyBorder="1" applyAlignment="1">
      <alignment horizontal="center"/>
    </xf>
    <xf numFmtId="170" fontId="4" fillId="0" borderId="27" xfId="0" applyNumberFormat="1" applyFont="1" applyBorder="1" applyAlignment="1">
      <alignment horizontal="center"/>
    </xf>
    <xf numFmtId="0" fontId="2" fillId="6" borderId="32" xfId="0" applyFont="1" applyFill="1" applyBorder="1"/>
    <xf numFmtId="168" fontId="2" fillId="6" borderId="33" xfId="0" applyNumberFormat="1" applyFont="1" applyFill="1" applyBorder="1"/>
    <xf numFmtId="168" fontId="2" fillId="6" borderId="32" xfId="0" applyNumberFormat="1" applyFont="1" applyFill="1" applyBorder="1"/>
    <xf numFmtId="168" fontId="2" fillId="6" borderId="34" xfId="0" applyNumberFormat="1" applyFont="1" applyFill="1" applyBorder="1"/>
    <xf numFmtId="168" fontId="2" fillId="6" borderId="32" xfId="2" applyNumberFormat="1" applyFont="1" applyFill="1" applyBorder="1" applyAlignment="1">
      <alignment horizontal="center"/>
    </xf>
    <xf numFmtId="168" fontId="2" fillId="6" borderId="34" xfId="2" applyNumberFormat="1" applyFont="1" applyFill="1" applyBorder="1" applyAlignment="1">
      <alignment horizontal="center"/>
    </xf>
    <xf numFmtId="168" fontId="2" fillId="6" borderId="35" xfId="2" applyNumberFormat="1" applyFont="1" applyFill="1" applyBorder="1"/>
    <xf numFmtId="168" fontId="2" fillId="6" borderId="34" xfId="2" applyNumberFormat="1" applyFont="1" applyFill="1" applyBorder="1"/>
    <xf numFmtId="168" fontId="2" fillId="6" borderId="32" xfId="2" applyNumberFormat="1" applyFont="1" applyFill="1" applyBorder="1"/>
    <xf numFmtId="168" fontId="2" fillId="6" borderId="30" xfId="2" applyNumberFormat="1" applyFont="1" applyFill="1" applyBorder="1"/>
    <xf numFmtId="168" fontId="2" fillId="6" borderId="36" xfId="2" applyNumberFormat="1" applyFont="1" applyFill="1" applyBorder="1"/>
    <xf numFmtId="0" fontId="2" fillId="0" borderId="0" xfId="0" applyFont="1" applyBorder="1"/>
    <xf numFmtId="168" fontId="2" fillId="0" borderId="37" xfId="0" applyNumberFormat="1" applyFont="1" applyBorder="1"/>
    <xf numFmtId="168" fontId="2" fillId="0" borderId="19" xfId="2" applyNumberFormat="1" applyFont="1" applyBorder="1" applyAlignment="1">
      <alignment horizontal="center"/>
    </xf>
    <xf numFmtId="168" fontId="2" fillId="0" borderId="0" xfId="2" applyNumberFormat="1" applyFont="1" applyBorder="1" applyAlignment="1">
      <alignment horizontal="center"/>
    </xf>
    <xf numFmtId="168" fontId="2" fillId="0" borderId="20" xfId="2" applyNumberFormat="1" applyFont="1" applyBorder="1"/>
    <xf numFmtId="168" fontId="2" fillId="0" borderId="19" xfId="2" applyNumberFormat="1" applyFont="1" applyBorder="1"/>
    <xf numFmtId="0" fontId="4" fillId="6" borderId="0" xfId="0" applyFont="1" applyFill="1" applyBorder="1"/>
    <xf numFmtId="168" fontId="4" fillId="6" borderId="37" xfId="0" applyNumberFormat="1" applyFont="1" applyFill="1" applyBorder="1"/>
    <xf numFmtId="168" fontId="4" fillId="6" borderId="0" xfId="0" applyNumberFormat="1" applyFont="1" applyFill="1"/>
    <xf numFmtId="168" fontId="4" fillId="6" borderId="19" xfId="0" applyNumberFormat="1" applyFont="1" applyFill="1" applyBorder="1"/>
    <xf numFmtId="168" fontId="4" fillId="6" borderId="0" xfId="2" applyNumberFormat="1" applyFont="1" applyFill="1" applyAlignment="1">
      <alignment horizontal="center"/>
    </xf>
    <xf numFmtId="168" fontId="4" fillId="6" borderId="19" xfId="2" applyNumberFormat="1" applyFont="1" applyFill="1" applyBorder="1" applyAlignment="1">
      <alignment horizontal="center"/>
    </xf>
    <xf numFmtId="168" fontId="4" fillId="6" borderId="0" xfId="2" applyNumberFormat="1" applyFont="1" applyFill="1" applyBorder="1" applyAlignment="1">
      <alignment horizontal="center"/>
    </xf>
    <xf numFmtId="168" fontId="4" fillId="6" borderId="20" xfId="2" applyNumberFormat="1" applyFont="1" applyFill="1" applyBorder="1"/>
    <xf numFmtId="168" fontId="4" fillId="6" borderId="19" xfId="2" applyNumberFormat="1" applyFont="1" applyFill="1" applyBorder="1"/>
    <xf numFmtId="168" fontId="2" fillId="6" borderId="19" xfId="2" applyNumberFormat="1" applyFont="1" applyFill="1" applyBorder="1"/>
    <xf numFmtId="168" fontId="4" fillId="6" borderId="17" xfId="2" applyNumberFormat="1" applyFont="1" applyFill="1" applyBorder="1"/>
    <xf numFmtId="0" fontId="2" fillId="6" borderId="0" xfId="0" applyFont="1" applyFill="1" applyBorder="1"/>
    <xf numFmtId="168" fontId="2" fillId="6" borderId="37" xfId="0" applyNumberFormat="1" applyFont="1" applyFill="1" applyBorder="1"/>
    <xf numFmtId="168" fontId="2" fillId="6" borderId="0" xfId="0" applyNumberFormat="1" applyFont="1" applyFill="1"/>
    <xf numFmtId="168" fontId="2" fillId="6" borderId="0" xfId="2" applyNumberFormat="1" applyFont="1" applyFill="1" applyAlignment="1">
      <alignment horizontal="center"/>
    </xf>
    <xf numFmtId="168" fontId="2" fillId="6" borderId="19" xfId="2" applyNumberFormat="1" applyFont="1" applyFill="1" applyBorder="1" applyAlignment="1">
      <alignment horizontal="center"/>
    </xf>
    <xf numFmtId="168" fontId="2" fillId="6" borderId="19" xfId="0" applyNumberFormat="1" applyFont="1" applyFill="1" applyBorder="1"/>
    <xf numFmtId="168" fontId="2" fillId="6" borderId="0" xfId="2" applyNumberFormat="1" applyFont="1" applyFill="1" applyBorder="1" applyAlignment="1">
      <alignment horizontal="center"/>
    </xf>
    <xf numFmtId="168" fontId="2" fillId="6" borderId="20" xfId="2" applyNumberFormat="1" applyFont="1" applyFill="1" applyBorder="1"/>
    <xf numFmtId="168" fontId="2" fillId="6" borderId="17" xfId="2" applyNumberFormat="1" applyFont="1" applyFill="1" applyBorder="1"/>
    <xf numFmtId="168" fontId="2" fillId="6" borderId="20" xfId="2" applyNumberFormat="1" applyFont="1" applyFill="1" applyBorder="1" applyAlignment="1">
      <alignment horizontal="center"/>
    </xf>
    <xf numFmtId="0" fontId="4" fillId="0" borderId="0" xfId="0" applyFont="1" applyBorder="1"/>
    <xf numFmtId="168" fontId="4" fillId="0" borderId="37" xfId="0" applyNumberFormat="1" applyFont="1" applyBorder="1"/>
    <xf numFmtId="168" fontId="4" fillId="0" borderId="19" xfId="2" applyNumberFormat="1" applyFont="1" applyBorder="1" applyAlignment="1">
      <alignment horizontal="center"/>
    </xf>
    <xf numFmtId="168" fontId="4" fillId="0" borderId="19" xfId="0" applyNumberFormat="1" applyFont="1" applyBorder="1"/>
    <xf numFmtId="168" fontId="4" fillId="0" borderId="0" xfId="2" applyNumberFormat="1" applyFont="1" applyBorder="1" applyAlignment="1">
      <alignment horizontal="center"/>
    </xf>
    <xf numFmtId="168" fontId="4" fillId="0" borderId="20" xfId="2" applyNumberFormat="1" applyFont="1" applyBorder="1"/>
    <xf numFmtId="168" fontId="4" fillId="0" borderId="19" xfId="2" applyNumberFormat="1" applyFont="1" applyBorder="1"/>
    <xf numFmtId="44" fontId="2" fillId="6" borderId="37" xfId="0" applyNumberFormat="1" applyFont="1" applyFill="1" applyBorder="1"/>
    <xf numFmtId="44" fontId="2" fillId="6" borderId="0" xfId="0" applyNumberFormat="1" applyFont="1" applyFill="1"/>
    <xf numFmtId="44" fontId="2" fillId="6" borderId="19" xfId="0" applyNumberFormat="1" applyFont="1" applyFill="1" applyBorder="1"/>
    <xf numFmtId="44" fontId="2" fillId="6" borderId="0" xfId="0" applyNumberFormat="1" applyFont="1" applyFill="1" applyBorder="1"/>
    <xf numFmtId="44" fontId="2" fillId="6" borderId="20" xfId="0" applyNumberFormat="1" applyFont="1" applyFill="1" applyBorder="1"/>
    <xf numFmtId="44" fontId="2" fillId="6" borderId="19" xfId="1" applyNumberFormat="1" applyFont="1" applyFill="1" applyBorder="1"/>
    <xf numFmtId="44" fontId="2" fillId="6" borderId="17" xfId="1" applyNumberFormat="1" applyFont="1" applyFill="1" applyBorder="1"/>
    <xf numFmtId="0" fontId="2" fillId="6" borderId="37" xfId="0" applyFont="1" applyFill="1" applyBorder="1"/>
    <xf numFmtId="0" fontId="2" fillId="6" borderId="0" xfId="0" applyFont="1" applyFill="1"/>
    <xf numFmtId="10" fontId="2" fillId="6" borderId="19" xfId="0" applyNumberFormat="1" applyFont="1" applyFill="1" applyBorder="1"/>
    <xf numFmtId="10" fontId="2" fillId="6" borderId="0" xfId="0" applyNumberFormat="1" applyFont="1" applyFill="1"/>
    <xf numFmtId="0" fontId="2" fillId="6" borderId="20" xfId="0" applyFont="1" applyFill="1" applyBorder="1"/>
    <xf numFmtId="0" fontId="2" fillId="6" borderId="19" xfId="0" applyFont="1" applyFill="1" applyBorder="1"/>
    <xf numFmtId="0" fontId="2" fillId="0" borderId="37" xfId="0" applyFont="1" applyBorder="1"/>
    <xf numFmtId="10" fontId="2" fillId="0" borderId="19" xfId="0" applyNumberFormat="1" applyFont="1" applyBorder="1"/>
    <xf numFmtId="0" fontId="2" fillId="0" borderId="19" xfId="0" applyFont="1" applyBorder="1"/>
    <xf numFmtId="10" fontId="2" fillId="6" borderId="37" xfId="0" applyNumberFormat="1" applyFont="1" applyFill="1" applyBorder="1"/>
    <xf numFmtId="10" fontId="2" fillId="6" borderId="19" xfId="3" applyNumberFormat="1" applyFont="1" applyFill="1" applyBorder="1"/>
    <xf numFmtId="10" fontId="2" fillId="6" borderId="0" xfId="0" applyNumberFormat="1" applyFont="1" applyFill="1" applyBorder="1"/>
    <xf numFmtId="10" fontId="2" fillId="6" borderId="20" xfId="0" applyNumberFormat="1" applyFont="1" applyFill="1" applyBorder="1"/>
    <xf numFmtId="10" fontId="2" fillId="6" borderId="17" xfId="3" applyNumberFormat="1" applyFont="1" applyFill="1" applyBorder="1"/>
    <xf numFmtId="10" fontId="2" fillId="0" borderId="37" xfId="0" applyNumberFormat="1" applyFont="1" applyBorder="1"/>
    <xf numFmtId="10" fontId="2" fillId="0" borderId="19" xfId="3" applyNumberFormat="1" applyFont="1" applyBorder="1"/>
    <xf numFmtId="10" fontId="2" fillId="0" borderId="0" xfId="0" applyNumberFormat="1" applyFont="1" applyBorder="1"/>
    <xf numFmtId="10" fontId="2" fillId="0" borderId="20" xfId="0" applyNumberFormat="1" applyFont="1" applyBorder="1"/>
    <xf numFmtId="168" fontId="2" fillId="6" borderId="17" xfId="0" applyNumberFormat="1" applyFont="1" applyFill="1" applyBorder="1"/>
    <xf numFmtId="10" fontId="2" fillId="0" borderId="20" xfId="3" applyNumberFormat="1" applyFont="1" applyBorder="1" applyAlignment="1">
      <alignment horizontal="right"/>
    </xf>
    <xf numFmtId="10" fontId="2" fillId="6" borderId="0" xfId="3" applyNumberFormat="1" applyFont="1" applyFill="1"/>
    <xf numFmtId="10" fontId="2" fillId="6" borderId="0" xfId="3" applyNumberFormat="1" applyFont="1" applyFill="1" applyBorder="1"/>
    <xf numFmtId="10" fontId="2" fillId="6" borderId="0" xfId="3" applyNumberFormat="1" applyFont="1" applyFill="1" applyBorder="1" applyAlignment="1">
      <alignment horizontal="right"/>
    </xf>
    <xf numFmtId="10" fontId="2" fillId="6" borderId="20" xfId="3" applyNumberFormat="1" applyFont="1" applyFill="1" applyBorder="1" applyAlignment="1">
      <alignment horizontal="right"/>
    </xf>
    <xf numFmtId="168" fontId="2" fillId="6" borderId="0" xfId="0" applyNumberFormat="1" applyFont="1" applyFill="1" applyBorder="1"/>
    <xf numFmtId="168" fontId="2" fillId="6" borderId="20" xfId="0" applyNumberFormat="1" applyFont="1" applyFill="1" applyBorder="1"/>
    <xf numFmtId="168" fontId="2" fillId="0" borderId="0" xfId="0" applyNumberFormat="1" applyFont="1" applyBorder="1"/>
    <xf numFmtId="168" fontId="2" fillId="6" borderId="0" xfId="2" applyNumberFormat="1" applyFont="1" applyFill="1" applyBorder="1"/>
    <xf numFmtId="168" fontId="2" fillId="0" borderId="38" xfId="0" applyNumberFormat="1" applyFont="1" applyBorder="1"/>
    <xf numFmtId="168" fontId="2" fillId="0" borderId="39" xfId="0" applyNumberFormat="1" applyFont="1" applyBorder="1"/>
    <xf numFmtId="168" fontId="2" fillId="0" borderId="39" xfId="2" applyNumberFormat="1" applyFont="1" applyBorder="1"/>
    <xf numFmtId="168" fontId="2" fillId="0" borderId="21" xfId="2" applyNumberFormat="1" applyFont="1" applyBorder="1"/>
    <xf numFmtId="168" fontId="2" fillId="0" borderId="40" xfId="0" applyNumberFormat="1" applyFont="1" applyBorder="1"/>
    <xf numFmtId="0" fontId="4" fillId="0" borderId="25" xfId="0" applyFont="1" applyBorder="1"/>
    <xf numFmtId="0" fontId="4" fillId="0" borderId="41" xfId="0" applyFont="1" applyBorder="1"/>
    <xf numFmtId="168" fontId="4" fillId="0" borderId="42" xfId="0" applyNumberFormat="1" applyFont="1" applyBorder="1"/>
    <xf numFmtId="10" fontId="4" fillId="0" borderId="42" xfId="0" applyNumberFormat="1" applyFont="1" applyBorder="1"/>
    <xf numFmtId="10" fontId="4" fillId="0" borderId="25" xfId="0" applyNumberFormat="1" applyFont="1" applyBorder="1"/>
    <xf numFmtId="0" fontId="4" fillId="0" borderId="26" xfId="0" applyFont="1" applyBorder="1"/>
    <xf numFmtId="43" fontId="4" fillId="0" borderId="25" xfId="0" applyNumberFormat="1" applyFont="1" applyBorder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17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 outline="0">
        <left/>
        <right style="thick">
          <color rgb="FFFFC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8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8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8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8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4" tint="0.59996337778862885"/>
        </patternFill>
      </fill>
    </dxf>
  </dxfs>
  <tableStyles count="1" defaultTableStyle="TableStyleMedium2" defaultPivotStyle="PivotStyleLight16">
    <tableStyle name="Table Style 1" pivot="0" count="1" xr9:uid="{0F88FFE7-63E8-4C5A-9335-54CCF142E062}">
      <tableStyleElement type="wholeTable" dxfId="16"/>
    </tableStyle>
  </tableStyles>
  <colors>
    <mruColors>
      <color rgb="FFFFF2CC"/>
      <color rgb="FFFF99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TGR</a:t>
            </a:r>
            <a:r>
              <a:rPr lang="en-US" baseline="0">
                <a:solidFill>
                  <a:sysClr val="windowText" lastClr="000000"/>
                </a:solidFill>
              </a:rPr>
              <a:t>'s Effect on DCF and Net Income Valuation Methods</a:t>
            </a:r>
          </a:p>
          <a:p>
            <a:pPr>
              <a:defRPr/>
            </a:pPr>
            <a:r>
              <a:rPr lang="en-US" sz="700"/>
              <a:t>*WACC</a:t>
            </a:r>
            <a:r>
              <a:rPr lang="en-US" sz="700" baseline="0"/>
              <a:t> of 9.88%</a:t>
            </a:r>
            <a:endParaRPr lang="en-US" sz="7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'DCF vs NPV of NI'!$C$3</c:f>
              <c:strCache>
                <c:ptCount val="1"/>
                <c:pt idx="0">
                  <c:v>DCF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'DCF vs NPV of NI'!$B$4:$B$20</c:f>
              <c:numCache>
                <c:formatCode>0%</c:formatCode>
                <c:ptCount val="17"/>
                <c:pt idx="0">
                  <c:v>-0.08</c:v>
                </c:pt>
                <c:pt idx="1">
                  <c:v>-7.0000000000000007E-2</c:v>
                </c:pt>
                <c:pt idx="2">
                  <c:v>-6.0000000000000005E-2</c:v>
                </c:pt>
                <c:pt idx="3">
                  <c:v>-0.05</c:v>
                </c:pt>
                <c:pt idx="4">
                  <c:v>-0.04</c:v>
                </c:pt>
                <c:pt idx="5">
                  <c:v>-0.03</c:v>
                </c:pt>
                <c:pt idx="6">
                  <c:v>-1.9999999999999997E-2</c:v>
                </c:pt>
                <c:pt idx="7">
                  <c:v>-9.9999999999999967E-3</c:v>
                </c:pt>
                <c:pt idx="8">
                  <c:v>0</c:v>
                </c:pt>
                <c:pt idx="9">
                  <c:v>0.01</c:v>
                </c:pt>
                <c:pt idx="10">
                  <c:v>0.02</c:v>
                </c:pt>
                <c:pt idx="11">
                  <c:v>0.03</c:v>
                </c:pt>
                <c:pt idx="12">
                  <c:v>0.04</c:v>
                </c:pt>
                <c:pt idx="13">
                  <c:v>0.05</c:v>
                </c:pt>
                <c:pt idx="14">
                  <c:v>6.0000000000000005E-2</c:v>
                </c:pt>
                <c:pt idx="15">
                  <c:v>7.0000000000000007E-2</c:v>
                </c:pt>
                <c:pt idx="16">
                  <c:v>0.08</c:v>
                </c:pt>
              </c:numCache>
            </c:numRef>
          </c:cat>
          <c:val>
            <c:numRef>
              <c:f>'DCF vs NPV of NI'!$C$4:$C$20</c:f>
              <c:numCache>
                <c:formatCode>_("$"* #,##0.00_);_("$"* \(#,##0.00\);_("$"* "-"??_);_(@_)</c:formatCode>
                <c:ptCount val="17"/>
                <c:pt idx="0">
                  <c:v>22.866944442348448</c:v>
                </c:pt>
                <c:pt idx="1">
                  <c:v>23.530402263148712</c:v>
                </c:pt>
                <c:pt idx="2">
                  <c:v>24.277407257929216</c:v>
                </c:pt>
                <c:pt idx="3">
                  <c:v>25.124801088180966</c:v>
                </c:pt>
                <c:pt idx="4">
                  <c:v>26.094278139622133</c:v>
                </c:pt>
                <c:pt idx="5">
                  <c:v>27.214269017247663</c:v>
                </c:pt>
                <c:pt idx="6">
                  <c:v>28.522775121777233</c:v>
                </c:pt>
                <c:pt idx="7">
                  <c:v>30.071766090955752</c:v>
                </c:pt>
                <c:pt idx="8">
                  <c:v>31.93</c:v>
                </c:pt>
                <c:pt idx="9">
                  <c:v>34.216100488390246</c:v>
                </c:pt>
                <c:pt idx="10">
                  <c:v>37.076940388491998</c:v>
                </c:pt>
                <c:pt idx="11">
                  <c:v>40.76915002260175</c:v>
                </c:pt>
                <c:pt idx="12">
                  <c:v>45.716736636846285</c:v>
                </c:pt>
                <c:pt idx="13">
                  <c:v>52.691095477746963</c:v>
                </c:pt>
                <c:pt idx="14">
                  <c:v>63.258417309267578</c:v>
                </c:pt>
                <c:pt idx="15">
                  <c:v>81.15847294587843</c:v>
                </c:pt>
                <c:pt idx="16">
                  <c:v>118.07855471372164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3-4F63-9327-FD69995D7BD7}"/>
            </c:ext>
          </c:extLst>
        </c:ser>
        <c:ser>
          <c:idx val="1"/>
          <c:order val="1"/>
          <c:tx>
            <c:strRef>
              <c:f>'DCF vs NPV of NI'!$D$3</c:f>
              <c:strCache>
                <c:ptCount val="1"/>
                <c:pt idx="0">
                  <c:v>Net Inc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'DCF vs NPV of NI'!$B$4:$B$20</c:f>
              <c:numCache>
                <c:formatCode>0%</c:formatCode>
                <c:ptCount val="17"/>
                <c:pt idx="0">
                  <c:v>-0.08</c:v>
                </c:pt>
                <c:pt idx="1">
                  <c:v>-7.0000000000000007E-2</c:v>
                </c:pt>
                <c:pt idx="2">
                  <c:v>-6.0000000000000005E-2</c:v>
                </c:pt>
                <c:pt idx="3">
                  <c:v>-0.05</c:v>
                </c:pt>
                <c:pt idx="4">
                  <c:v>-0.04</c:v>
                </c:pt>
                <c:pt idx="5">
                  <c:v>-0.03</c:v>
                </c:pt>
                <c:pt idx="6">
                  <c:v>-1.9999999999999997E-2</c:v>
                </c:pt>
                <c:pt idx="7">
                  <c:v>-9.9999999999999967E-3</c:v>
                </c:pt>
                <c:pt idx="8">
                  <c:v>0</c:v>
                </c:pt>
                <c:pt idx="9">
                  <c:v>0.01</c:v>
                </c:pt>
                <c:pt idx="10">
                  <c:v>0.02</c:v>
                </c:pt>
                <c:pt idx="11">
                  <c:v>0.03</c:v>
                </c:pt>
                <c:pt idx="12">
                  <c:v>0.04</c:v>
                </c:pt>
                <c:pt idx="13">
                  <c:v>0.05</c:v>
                </c:pt>
                <c:pt idx="14">
                  <c:v>6.0000000000000005E-2</c:v>
                </c:pt>
                <c:pt idx="15">
                  <c:v>7.0000000000000007E-2</c:v>
                </c:pt>
                <c:pt idx="16">
                  <c:v>0.08</c:v>
                </c:pt>
              </c:numCache>
            </c:numRef>
          </c:cat>
          <c:val>
            <c:numRef>
              <c:f>'DCF vs NPV of NI'!$D$4:$D$20</c:f>
              <c:numCache>
                <c:formatCode>_("$"* #,##0.00_);_("$"* \(#,##0.00\);_("$"* "-"??_);_(@_)</c:formatCode>
                <c:ptCount val="17"/>
                <c:pt idx="0">
                  <c:v>21.081817452141166</c:v>
                </c:pt>
                <c:pt idx="1">
                  <c:v>21.611080079006936</c:v>
                </c:pt>
                <c:pt idx="2">
                  <c:v>22.192803265585518</c:v>
                </c:pt>
                <c:pt idx="3">
                  <c:v>22.833750873030247</c:v>
                </c:pt>
                <c:pt idx="4">
                  <c:v>23.541667527387915</c:v>
                </c:pt>
                <c:pt idx="5">
                  <c:v>24.325427112734673</c:v>
                </c:pt>
                <c:pt idx="6">
                  <c:v>25.195203780882895</c:v>
                </c:pt>
                <c:pt idx="7">
                  <c:v>26.162668810308787</c:v>
                </c:pt>
                <c:pt idx="8">
                  <c:v>27.24</c:v>
                </c:pt>
                <c:pt idx="9">
                  <c:v>28.446227781352288</c:v>
                </c:pt>
                <c:pt idx="10">
                  <c:v>29.795363477113245</c:v>
                </c:pt>
                <c:pt idx="11">
                  <c:v>31.30891455013511</c:v>
                </c:pt>
                <c:pt idx="12">
                  <c:v>33.010194057923066</c:v>
                </c:pt>
                <c:pt idx="13">
                  <c:v>34.925991134852502</c:v>
                </c:pt>
                <c:pt idx="14">
                  <c:v>37.087090956453125</c:v>
                </c:pt>
                <c:pt idx="15">
                  <c:v>39.528870723612272</c:v>
                </c:pt>
                <c:pt idx="16">
                  <c:v>42.29198235030703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3-4F63-9327-FD69995D7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99855"/>
        <c:axId val="182302255"/>
      </c:lineChart>
      <c:catAx>
        <c:axId val="1822998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02255"/>
        <c:crosses val="autoZero"/>
        <c:auto val="1"/>
        <c:lblAlgn val="ctr"/>
        <c:lblOffset val="100"/>
        <c:noMultiLvlLbl val="0"/>
      </c:catAx>
      <c:valAx>
        <c:axId val="182302255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WACC's Effect on DCF and Net Income Valuation Methods</a:t>
            </a:r>
          </a:p>
          <a:p>
            <a:pPr>
              <a:defRPr/>
            </a:pPr>
            <a:r>
              <a:rPr lang="en-US" sz="7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*TGR of -3.00%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24846368344546E-2"/>
          <c:y val="0.16138703766479001"/>
          <c:w val="0.87959167002950456"/>
          <c:h val="0.66110629618110039"/>
        </c:manualLayout>
      </c:layout>
      <c:lineChart>
        <c:grouping val="standard"/>
        <c:varyColors val="0"/>
        <c:ser>
          <c:idx val="0"/>
          <c:order val="0"/>
          <c:tx>
            <c:strRef>
              <c:f>'DCF vs NPV of NI'!$C$23</c:f>
              <c:strCache>
                <c:ptCount val="1"/>
                <c:pt idx="0">
                  <c:v>DCF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'DCF vs NPV of NI'!$B$24:$B$39</c:f>
              <c:numCache>
                <c:formatCode>0%</c:formatCode>
                <c:ptCount val="16"/>
                <c:pt idx="0">
                  <c:v>0.05</c:v>
                </c:pt>
                <c:pt idx="1">
                  <c:v>6.0000000000000005E-2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9.9999999999999992E-2</c:v>
                </c:pt>
                <c:pt idx="6">
                  <c:v>0.10999999999999999</c:v>
                </c:pt>
                <c:pt idx="7">
                  <c:v>0.11999999999999998</c:v>
                </c:pt>
                <c:pt idx="8">
                  <c:v>0.12999999999999998</c:v>
                </c:pt>
                <c:pt idx="9">
                  <c:v>0.13999999999999999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0.18000000000000002</c:v>
                </c:pt>
                <c:pt idx="14">
                  <c:v>0.19000000000000003</c:v>
                </c:pt>
                <c:pt idx="15">
                  <c:v>0.20000000000000004</c:v>
                </c:pt>
              </c:numCache>
            </c:numRef>
          </c:cat>
          <c:val>
            <c:numRef>
              <c:f>'DCF vs NPV of NI'!$C$24:$C$39</c:f>
              <c:numCache>
                <c:formatCode>_("$"* #,##0.00_);_("$"* \(#,##0.00\);_("$"* "-"??_);_(@_)</c:formatCode>
                <c:ptCount val="16"/>
                <c:pt idx="0">
                  <c:v>44.296451454239516</c:v>
                </c:pt>
                <c:pt idx="1">
                  <c:v>39.243008535032843</c:v>
                </c:pt>
                <c:pt idx="2">
                  <c:v>35.222421682489255</c:v>
                </c:pt>
                <c:pt idx="3">
                  <c:v>31.951883373336653</c:v>
                </c:pt>
                <c:pt idx="4">
                  <c:v>29.242922650290662</c:v>
                </c:pt>
                <c:pt idx="5">
                  <c:v>26.96511715787884</c:v>
                </c:pt>
                <c:pt idx="6">
                  <c:v>25.025357527091316</c:v>
                </c:pt>
                <c:pt idx="7">
                  <c:v>23.355406314606931</c:v>
                </c:pt>
                <c:pt idx="8">
                  <c:v>21.90412260244528</c:v>
                </c:pt>
                <c:pt idx="9">
                  <c:v>20.632431081284686</c:v>
                </c:pt>
                <c:pt idx="10">
                  <c:v>19.509968299126562</c:v>
                </c:pt>
                <c:pt idx="11">
                  <c:v>18.512788155951693</c:v>
                </c:pt>
                <c:pt idx="12">
                  <c:v>17.621755894267121</c:v>
                </c:pt>
                <c:pt idx="13">
                  <c:v>16.821401074862187</c:v>
                </c:pt>
                <c:pt idx="14">
                  <c:v>16.099083486623048</c:v>
                </c:pt>
                <c:pt idx="15">
                  <c:v>15.444376740598646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3-42A8-B839-FE2D752C395C}"/>
            </c:ext>
          </c:extLst>
        </c:ser>
        <c:ser>
          <c:idx val="1"/>
          <c:order val="1"/>
          <c:tx>
            <c:strRef>
              <c:f>'DCF vs NPV of NI'!$D$23</c:f>
              <c:strCache>
                <c:ptCount val="1"/>
                <c:pt idx="0">
                  <c:v>Net 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'DCF vs NPV of NI'!$B$24:$B$39</c:f>
              <c:numCache>
                <c:formatCode>0%</c:formatCode>
                <c:ptCount val="16"/>
                <c:pt idx="0">
                  <c:v>0.05</c:v>
                </c:pt>
                <c:pt idx="1">
                  <c:v>6.0000000000000005E-2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9.9999999999999992E-2</c:v>
                </c:pt>
                <c:pt idx="6">
                  <c:v>0.10999999999999999</c:v>
                </c:pt>
                <c:pt idx="7">
                  <c:v>0.11999999999999998</c:v>
                </c:pt>
                <c:pt idx="8">
                  <c:v>0.12999999999999998</c:v>
                </c:pt>
                <c:pt idx="9">
                  <c:v>0.13999999999999999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0.18000000000000002</c:v>
                </c:pt>
                <c:pt idx="14">
                  <c:v>0.19000000000000003</c:v>
                </c:pt>
                <c:pt idx="15">
                  <c:v>0.20000000000000004</c:v>
                </c:pt>
              </c:numCache>
            </c:numRef>
          </c:cat>
          <c:val>
            <c:numRef>
              <c:f>'DCF vs NPV of NI'!$D$24:$D$39</c:f>
              <c:numCache>
                <c:formatCode>_("$"* #,##0.00_);_("$"* \(#,##0.00\);_("$"* "-"??_);_(@_)</c:formatCode>
                <c:ptCount val="16"/>
                <c:pt idx="0">
                  <c:v>35.981406166481605</c:v>
                </c:pt>
                <c:pt idx="1">
                  <c:v>32.872256542707355</c:v>
                </c:pt>
                <c:pt idx="2">
                  <c:v>30.200241531674973</c:v>
                </c:pt>
                <c:pt idx="3">
                  <c:v>27.890875763945171</c:v>
                </c:pt>
                <c:pt idx="4">
                  <c:v>25.88399485204021</c:v>
                </c:pt>
                <c:pt idx="5">
                  <c:v>24.130759432089469</c:v>
                </c:pt>
                <c:pt idx="6">
                  <c:v>22.591327209328966</c:v>
                </c:pt>
                <c:pt idx="7">
                  <c:v>21.233036272411091</c:v>
                </c:pt>
                <c:pt idx="8">
                  <c:v>20.028981316796454</c:v>
                </c:pt>
                <c:pt idx="9">
                  <c:v>18.956893045175402</c:v>
                </c:pt>
                <c:pt idx="10">
                  <c:v>17.998252450653432</c:v>
                </c:pt>
                <c:pt idx="11">
                  <c:v>17.137587803008856</c:v>
                </c:pt>
                <c:pt idx="12">
                  <c:v>16.361914317078423</c:v>
                </c:pt>
                <c:pt idx="13">
                  <c:v>15.660285690549479</c:v>
                </c:pt>
                <c:pt idx="14">
                  <c:v>15.023433697945036</c:v>
                </c:pt>
                <c:pt idx="15">
                  <c:v>14.443477367696801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3-42A8-B839-FE2D752C3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564671"/>
        <c:axId val="638565151"/>
      </c:lineChart>
      <c:catAx>
        <c:axId val="638564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65151"/>
        <c:crosses val="autoZero"/>
        <c:auto val="1"/>
        <c:lblAlgn val="ctr"/>
        <c:lblOffset val="100"/>
        <c:noMultiLvlLbl val="0"/>
      </c:catAx>
      <c:valAx>
        <c:axId val="6385651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6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31</xdr:row>
      <xdr:rowOff>28575</xdr:rowOff>
    </xdr:from>
    <xdr:to>
      <xdr:col>12</xdr:col>
      <xdr:colOff>253755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1EDA2A-5F14-0E3A-3672-814DC450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" y="5962650"/>
          <a:ext cx="8121405" cy="695325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3</xdr:row>
      <xdr:rowOff>104777</xdr:rowOff>
    </xdr:from>
    <xdr:to>
      <xdr:col>5</xdr:col>
      <xdr:colOff>365330</xdr:colOff>
      <xdr:row>9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67C107-44C1-B577-9E6A-E5B412882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676277"/>
          <a:ext cx="2841830" cy="11810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9525</xdr:rowOff>
    </xdr:from>
    <xdr:to>
      <xdr:col>13</xdr:col>
      <xdr:colOff>381000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9A8E-96E5-4DBC-BFFB-322170D5A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557212</xdr:colOff>
      <xdr:row>21</xdr:row>
      <xdr:rowOff>80961</xdr:rowOff>
    </xdr:from>
    <xdr:to>
      <xdr:col>13</xdr:col>
      <xdr:colOff>485775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7AD491-86BE-5107-1876-8D4CC1741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https://www.bing.com/financeapi/forcetrigger?t=a1pghw&amp;q=XNAS%3aCELH&amp;form=skydnc</v>
    <v>Learn more on Bing</v>
  </rv>
  <rv s="1">
    <v>en-US</v>
    <v>a1pghw</v>
    <v>268435456</v>
    <v>1</v>
    <v>Powered by Refinitiv</v>
    <v>0</v>
    <v>CELSIUS HOLDINGS, INC. (XNAS:CELH)</v>
    <v>2</v>
    <v>3</v>
    <v>Finance</v>
    <v>4</v>
    <v>99.619900000000001</v>
    <v>21.1</v>
    <v>1.8947000000000001</v>
    <v>7.09</v>
    <v>-6.8210000000000007E-3</v>
    <v>0.27771200000000001</v>
    <v>-0.2225</v>
    <v>USD</v>
    <v>Celsius Holdings, Inc. is engaged in the development, processing, marketing, sale, and distribution of functional energy drinks to a range of consumers. The Company's flagship asset, CELSIUS, is marketed as a fitness drink or supplement which, with exercise, is designed to accelerate metabolism and burn body fat while providing energy. This product line comes in two versions: a ready-to-drink form and an on-the-go powder form. The Company also offers a new CELSIUS Essentials line, available in 16-ounce cans. Celsius products are offered in retail channels across the United States, including conventional grocery, natural, convenience, fitness, mass market, vitamin specialty and e-commerce. Additionally, the Company's products are also offered in certain Canadian, European, Middle Eastern and Asia-Pacific markets. Its product's formulation includes ingredients and supplements such as green tea (EGCG), ginger (from the root), calcium, chromium, B vitamins and vitamin C.</v>
    <v>765</v>
    <v>Nasdaq Stock Market</v>
    <v>XNAS</v>
    <v>XNAS</v>
    <v>2424 N. Federal Hwy, Suite 208, BOCA RATON, FL, 33431 US</v>
    <v>34.44</v>
    <v>Beverages</v>
    <v>Stock</v>
    <v>45710.041636735936</v>
    <v>0</v>
    <v>30.12</v>
    <v>7666724267</v>
    <v>CELSIUS HOLDINGS, INC.</v>
    <v>CELSIUS HOLDINGS, INC.</v>
    <v>34.11</v>
    <v>72.488900000000001</v>
    <v>25.53</v>
    <v>32.619999999999997</v>
    <v>32.397500000000001</v>
    <v>235031400</v>
    <v>CELH</v>
    <v>CELSIUS HOLDINGS, INC. (XNAS:CELH)</v>
    <v>62380468</v>
    <v>9382798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3DFB7-2C29-4C02-B53E-84DBBB14C529}" name="Table1" displayName="Table1" ref="C4:O57" totalsRowShown="0" headerRowDxfId="15" dataDxfId="13" headerRowBorderDxfId="14">
  <tableColumns count="13">
    <tableColumn id="1" xr3:uid="{08A1B601-01B9-4693-A4B6-3AF721747A04}" name="CF Statement" dataDxfId="12"/>
    <tableColumn id="2" xr3:uid="{66D6265D-BBCD-4655-A6ED-F3C1DE5DB43F}" name="1Q22" dataDxfId="11"/>
    <tableColumn id="3" xr3:uid="{D46AFEAD-8712-4732-B0D9-2AC2BD441929}" name="2Q22" dataDxfId="10"/>
    <tableColumn id="4" xr3:uid="{88E0D6E6-2D95-4633-9606-8AF640A1740F}" name="3Q22" dataDxfId="9"/>
    <tableColumn id="5" xr3:uid="{EED18D11-5EBB-4690-9EDA-F42F4F367E58}" name="4Q22" dataDxfId="8"/>
    <tableColumn id="6" xr3:uid="{3DC43884-909E-42E9-BCBE-7F36655069C0}" name="1Q23" dataDxfId="7"/>
    <tableColumn id="7" xr3:uid="{28E702DD-B5A3-4F67-88A6-A25D351311E5}" name="2Q23" dataDxfId="6"/>
    <tableColumn id="8" xr3:uid="{AC1366E6-3E2B-4CBE-9B33-275BA84A7D39}" name="3Q23" dataDxfId="5"/>
    <tableColumn id="9" xr3:uid="{00453091-6991-4522-9581-AF77B52E6136}" name="4Q23" dataDxfId="4"/>
    <tableColumn id="10" xr3:uid="{D088D502-76F0-4F87-8821-5D45AD0DB83A}" name="1Q24" dataDxfId="3"/>
    <tableColumn id="11" xr3:uid="{6F5A9F9E-1B00-4B50-AC16-1587864AA659}" name="2Q24" dataDxfId="2"/>
    <tableColumn id="12" xr3:uid="{69237741-A107-45B1-AC07-FFE7BAED9B24}" name="3Q24" dataDxfId="1"/>
    <tableColumn id="13" xr3:uid="{FADE3DB7-F46D-4FDC-B40B-DACCF1176543}" name="E4Q2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CB52-3475-405A-BE3A-9A10E60BEE6E}">
  <dimension ref="C2:N29"/>
  <sheetViews>
    <sheetView workbookViewId="0">
      <selection activeCell="E4" sqref="E4"/>
    </sheetView>
  </sheetViews>
  <sheetFormatPr defaultRowHeight="15" x14ac:dyDescent="0.25"/>
  <cols>
    <col min="3" max="3" width="29.42578125" bestFit="1" customWidth="1"/>
    <col min="4" max="4" width="9.140625" customWidth="1"/>
    <col min="5" max="5" width="13.140625" bestFit="1" customWidth="1"/>
    <col min="7" max="7" width="15.28515625" bestFit="1" customWidth="1"/>
    <col min="9" max="9" width="12.28515625" bestFit="1" customWidth="1"/>
    <col min="14" max="14" width="9.85546875" bestFit="1" customWidth="1"/>
  </cols>
  <sheetData>
    <row r="2" spans="3:12" ht="15.75" thickBot="1" x14ac:dyDescent="0.3">
      <c r="C2" t="s">
        <v>0</v>
      </c>
      <c r="D2" t="s">
        <v>1</v>
      </c>
      <c r="E2" t="s">
        <v>2</v>
      </c>
    </row>
    <row r="3" spans="3:12" x14ac:dyDescent="0.25">
      <c r="C3" s="2" t="s">
        <v>3</v>
      </c>
      <c r="D3" s="7" t="s">
        <v>4</v>
      </c>
      <c r="E3" s="12">
        <v>186.71</v>
      </c>
    </row>
    <row r="4" spans="3:12" x14ac:dyDescent="0.25">
      <c r="C4" s="3" t="s">
        <v>5</v>
      </c>
      <c r="D4" s="8" t="s">
        <v>6</v>
      </c>
      <c r="E4" s="13">
        <v>625.13</v>
      </c>
    </row>
    <row r="5" spans="3:12" x14ac:dyDescent="0.25">
      <c r="C5" s="3" t="s">
        <v>7</v>
      </c>
      <c r="D5" s="8" t="s">
        <v>8</v>
      </c>
      <c r="E5" s="6">
        <f>SUM(E3:E4)</f>
        <v>811.84</v>
      </c>
      <c r="I5" s="11"/>
    </row>
    <row r="6" spans="3:12" x14ac:dyDescent="0.25">
      <c r="C6" s="3" t="s">
        <v>9</v>
      </c>
      <c r="D6" s="8" t="s">
        <v>10</v>
      </c>
      <c r="E6" s="17">
        <v>4.53E-2</v>
      </c>
      <c r="I6" s="10"/>
    </row>
    <row r="7" spans="3:12" x14ac:dyDescent="0.25">
      <c r="C7" s="3" t="s">
        <v>11</v>
      </c>
      <c r="D7" s="8" t="s">
        <v>12</v>
      </c>
      <c r="E7" s="17">
        <v>0.21</v>
      </c>
    </row>
    <row r="8" spans="3:12" x14ac:dyDescent="0.25">
      <c r="C8" s="3" t="s">
        <v>13</v>
      </c>
      <c r="D8" s="8" t="s">
        <v>14</v>
      </c>
      <c r="E8" s="17">
        <v>4.7899999999999998E-2</v>
      </c>
      <c r="H8" t="s">
        <v>15</v>
      </c>
      <c r="I8">
        <v>-820.73</v>
      </c>
    </row>
    <row r="9" spans="3:12" x14ac:dyDescent="0.25">
      <c r="C9" s="3" t="s">
        <v>16</v>
      </c>
      <c r="D9" s="8" t="s">
        <v>17</v>
      </c>
      <c r="E9" s="15">
        <v>1.31</v>
      </c>
      <c r="H9" t="s">
        <v>18</v>
      </c>
      <c r="I9">
        <v>0</v>
      </c>
    </row>
    <row r="10" spans="3:12" x14ac:dyDescent="0.25">
      <c r="C10" s="3" t="s">
        <v>19</v>
      </c>
      <c r="D10" s="8" t="s">
        <v>20</v>
      </c>
      <c r="E10" s="17">
        <v>0.1</v>
      </c>
      <c r="H10" t="s">
        <v>21</v>
      </c>
      <c r="I10">
        <v>1000</v>
      </c>
    </row>
    <row r="11" spans="3:12" x14ac:dyDescent="0.25">
      <c r="C11" s="3" t="s">
        <v>22</v>
      </c>
      <c r="D11" s="8" t="s">
        <v>23</v>
      </c>
      <c r="E11" s="17">
        <f>(E8+E9)*(E10-E8)</f>
        <v>7.0746590000000012E-2</v>
      </c>
      <c r="H11" t="s">
        <v>24</v>
      </c>
      <c r="I11">
        <v>2.67</v>
      </c>
    </row>
    <row r="12" spans="3:12" x14ac:dyDescent="0.25">
      <c r="D12" s="5"/>
      <c r="H12" t="s">
        <v>25</v>
      </c>
      <c r="I12" s="18">
        <f>RATE(I11,I9,I8,I10)</f>
        <v>7.6799179494152353E-2</v>
      </c>
    </row>
    <row r="13" spans="3:12" x14ac:dyDescent="0.25">
      <c r="C13" t="s">
        <v>26</v>
      </c>
      <c r="E13" s="1">
        <f>E3/E5</f>
        <v>0.22998374063854946</v>
      </c>
      <c r="H13" t="s">
        <v>15</v>
      </c>
      <c r="I13">
        <v>-985.42</v>
      </c>
    </row>
    <row r="14" spans="3:12" x14ac:dyDescent="0.25">
      <c r="C14" t="s">
        <v>27</v>
      </c>
      <c r="E14" s="1">
        <f>E4/E5</f>
        <v>0.77001625936145046</v>
      </c>
      <c r="H14" t="s">
        <v>18</v>
      </c>
      <c r="I14">
        <v>-1.25</v>
      </c>
      <c r="L14">
        <f>1/2.67</f>
        <v>0.37453183520599254</v>
      </c>
    </row>
    <row r="15" spans="3:12" x14ac:dyDescent="0.25">
      <c r="H15" t="s">
        <v>21</v>
      </c>
      <c r="I15">
        <v>1000</v>
      </c>
    </row>
    <row r="16" spans="3:12" x14ac:dyDescent="0.25">
      <c r="E16" s="18">
        <f>(E13*E11) +(E14*E6*(1-E7))</f>
        <v>4.3827137279390027E-2</v>
      </c>
      <c r="H16" t="s">
        <v>24</v>
      </c>
      <c r="I16">
        <v>1.17</v>
      </c>
    </row>
    <row r="17" spans="3:14" x14ac:dyDescent="0.25">
      <c r="D17" s="19">
        <f>NPV(E16,E18:L18)</f>
        <v>110.25844042725538</v>
      </c>
      <c r="H17" t="s">
        <v>25</v>
      </c>
      <c r="I17" s="18">
        <f>RATE(I16,I14,I13,I15)</f>
        <v>1.1365254650749123E-2</v>
      </c>
      <c r="N17" s="1"/>
    </row>
    <row r="18" spans="3:14" x14ac:dyDescent="0.25">
      <c r="E18">
        <v>61.26</v>
      </c>
      <c r="F18">
        <v>56.19</v>
      </c>
      <c r="N18" s="1"/>
    </row>
    <row r="22" spans="3:14" x14ac:dyDescent="0.25">
      <c r="F22">
        <v>3773</v>
      </c>
      <c r="G22" s="10">
        <f>E4*1000</f>
        <v>625130</v>
      </c>
      <c r="H22" s="16">
        <f>F22/G22</f>
        <v>6.0355446067218016E-3</v>
      </c>
    </row>
    <row r="26" spans="3:14" x14ac:dyDescent="0.25">
      <c r="C26" t="s">
        <v>28</v>
      </c>
    </row>
    <row r="27" spans="3:14" x14ac:dyDescent="0.25">
      <c r="C27" t="s">
        <v>29</v>
      </c>
      <c r="F27">
        <v>-3773</v>
      </c>
      <c r="G27" s="14">
        <v>3773000</v>
      </c>
    </row>
    <row r="28" spans="3:14" x14ac:dyDescent="0.25">
      <c r="C28" t="s">
        <v>30</v>
      </c>
    </row>
    <row r="29" spans="3:14" x14ac:dyDescent="0.25">
      <c r="C29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C78B-8C9D-46EA-8390-79456885E9E3}">
  <dimension ref="D2:O35"/>
  <sheetViews>
    <sheetView workbookViewId="0">
      <selection activeCell="G13" sqref="G13"/>
    </sheetView>
  </sheetViews>
  <sheetFormatPr defaultRowHeight="15" x14ac:dyDescent="0.25"/>
  <cols>
    <col min="5" max="5" width="36.7109375" bestFit="1" customWidth="1"/>
    <col min="6" max="6" width="10" customWidth="1"/>
    <col min="7" max="7" width="12.7109375" bestFit="1" customWidth="1"/>
    <col min="10" max="10" width="11" bestFit="1" customWidth="1"/>
  </cols>
  <sheetData>
    <row r="2" spans="4:13" x14ac:dyDescent="0.25">
      <c r="E2" s="23" t="s">
        <v>32</v>
      </c>
    </row>
    <row r="6" spans="4:13" x14ac:dyDescent="0.25">
      <c r="K6" t="s">
        <v>33</v>
      </c>
      <c r="L6" t="s">
        <v>34</v>
      </c>
      <c r="M6" t="s">
        <v>35</v>
      </c>
    </row>
    <row r="7" spans="4:13" x14ac:dyDescent="0.25">
      <c r="K7" s="63">
        <v>0.05</v>
      </c>
      <c r="L7" s="70">
        <v>44.296451454239516</v>
      </c>
      <c r="M7" s="70">
        <v>35.981406166481605</v>
      </c>
    </row>
    <row r="8" spans="4:13" x14ac:dyDescent="0.25">
      <c r="K8" s="63">
        <f>K7+0.01</f>
        <v>6.0000000000000005E-2</v>
      </c>
      <c r="L8" s="70">
        <v>39.243008535032843</v>
      </c>
      <c r="M8" s="70">
        <v>32.872256542707355</v>
      </c>
    </row>
    <row r="9" spans="4:13" x14ac:dyDescent="0.25">
      <c r="K9" s="63">
        <f t="shared" ref="K9:K22" si="0">K8+0.01</f>
        <v>7.0000000000000007E-2</v>
      </c>
      <c r="L9" s="70">
        <v>35.222421682489255</v>
      </c>
      <c r="M9" s="70">
        <v>30.200241531674973</v>
      </c>
    </row>
    <row r="10" spans="4:13" x14ac:dyDescent="0.25">
      <c r="K10" s="63">
        <f t="shared" si="0"/>
        <v>0.08</v>
      </c>
      <c r="L10" s="70">
        <v>31.951883373336653</v>
      </c>
      <c r="M10" s="70">
        <v>27.890875763945171</v>
      </c>
    </row>
    <row r="11" spans="4:13" x14ac:dyDescent="0.25">
      <c r="E11" t="e" vm="1">
        <v>#VALUE!</v>
      </c>
      <c r="G11" s="75"/>
      <c r="K11" s="63">
        <f t="shared" si="0"/>
        <v>0.09</v>
      </c>
      <c r="L11" s="70">
        <v>29.242922650290662</v>
      </c>
      <c r="M11" s="70">
        <v>25.88399485204021</v>
      </c>
    </row>
    <row r="12" spans="4:13" ht="15.75" thickBot="1" x14ac:dyDescent="0.3">
      <c r="K12" s="63">
        <f t="shared" si="0"/>
        <v>9.9999999999999992E-2</v>
      </c>
      <c r="L12" s="70">
        <v>26.96511715787884</v>
      </c>
      <c r="M12" s="70">
        <v>24.130759432089469</v>
      </c>
    </row>
    <row r="13" spans="4:13" ht="15.75" thickBot="1" x14ac:dyDescent="0.3">
      <c r="E13" s="83" t="s">
        <v>36</v>
      </c>
      <c r="F13" s="84"/>
      <c r="G13" s="85" cm="1">
        <f t="array" aca="1" ref="G13" ca="1">_FV($E$11,"Price")</f>
        <v>32.619999999999997</v>
      </c>
      <c r="K13" s="63">
        <f t="shared" si="0"/>
        <v>0.10999999999999999</v>
      </c>
      <c r="L13" s="70">
        <v>25.025357527091316</v>
      </c>
      <c r="M13" s="70">
        <v>22.591327209328966</v>
      </c>
    </row>
    <row r="14" spans="4:13" x14ac:dyDescent="0.25">
      <c r="D14" s="77"/>
      <c r="E14" s="3" t="s">
        <v>37</v>
      </c>
      <c r="F14" s="78"/>
      <c r="G14" s="76">
        <v>903749</v>
      </c>
      <c r="K14" s="63">
        <f>K13+0.01</f>
        <v>0.11999999999999998</v>
      </c>
      <c r="L14" s="70">
        <v>23.355406314606931</v>
      </c>
      <c r="M14" s="70">
        <v>21.233036272411091</v>
      </c>
    </row>
    <row r="15" spans="4:13" x14ac:dyDescent="0.25">
      <c r="D15" s="77"/>
      <c r="E15" s="3" t="s">
        <v>3</v>
      </c>
      <c r="F15" s="8" t="s">
        <v>4</v>
      </c>
      <c r="G15" s="79">
        <v>6290000</v>
      </c>
      <c r="K15" s="63">
        <f t="shared" si="0"/>
        <v>0.12999999999999998</v>
      </c>
      <c r="L15" s="70">
        <v>21.90412260244528</v>
      </c>
      <c r="M15" s="70">
        <v>20.028981316796454</v>
      </c>
    </row>
    <row r="16" spans="4:13" x14ac:dyDescent="0.25">
      <c r="D16" s="77"/>
      <c r="E16" s="22" t="s">
        <v>5</v>
      </c>
      <c r="F16" s="8" t="s">
        <v>6</v>
      </c>
      <c r="G16" s="79">
        <f>1358+99+4193+189</f>
        <v>5839</v>
      </c>
      <c r="K16" s="63">
        <f t="shared" si="0"/>
        <v>0.13999999999999999</v>
      </c>
      <c r="L16" s="70">
        <v>20.632431081284686</v>
      </c>
      <c r="M16" s="70">
        <v>18.956893045175402</v>
      </c>
    </row>
    <row r="17" spans="5:15" x14ac:dyDescent="0.25">
      <c r="E17" s="3" t="s">
        <v>7</v>
      </c>
      <c r="F17" s="8" t="s">
        <v>8</v>
      </c>
      <c r="G17" s="80">
        <f>SUM(G15:G16)</f>
        <v>6295839</v>
      </c>
      <c r="K17" s="63">
        <f t="shared" si="0"/>
        <v>0.15</v>
      </c>
      <c r="L17" s="70">
        <v>19.509968299126562</v>
      </c>
      <c r="M17" s="70">
        <v>17.998252450653432</v>
      </c>
    </row>
    <row r="18" spans="5:15" x14ac:dyDescent="0.25">
      <c r="E18" s="3" t="s">
        <v>38</v>
      </c>
      <c r="F18" s="8" t="s">
        <v>39</v>
      </c>
      <c r="G18" s="80">
        <f>F35</f>
        <v>266.50189999999998</v>
      </c>
      <c r="K18" s="63">
        <f t="shared" si="0"/>
        <v>0.16</v>
      </c>
      <c r="L18" s="70">
        <v>18.512788155951693</v>
      </c>
      <c r="M18" s="70">
        <v>17.137587803008856</v>
      </c>
    </row>
    <row r="19" spans="5:15" x14ac:dyDescent="0.25">
      <c r="E19" s="3" t="s">
        <v>9</v>
      </c>
      <c r="F19" s="8" t="s">
        <v>10</v>
      </c>
      <c r="G19" s="81">
        <f>G18/G16</f>
        <v>4.5641702346292168E-2</v>
      </c>
      <c r="K19" s="63">
        <f t="shared" si="0"/>
        <v>0.17</v>
      </c>
      <c r="L19" s="70">
        <v>17.621755894267121</v>
      </c>
      <c r="M19" s="70">
        <v>16.361914317078423</v>
      </c>
    </row>
    <row r="20" spans="5:15" x14ac:dyDescent="0.25">
      <c r="E20" s="3" t="s">
        <v>11</v>
      </c>
      <c r="F20" s="8" t="s">
        <v>12</v>
      </c>
      <c r="G20" s="81">
        <v>0.21</v>
      </c>
      <c r="K20" s="63">
        <f t="shared" si="0"/>
        <v>0.18000000000000002</v>
      </c>
      <c r="L20" s="70">
        <v>16.821401074862187</v>
      </c>
      <c r="M20" s="70">
        <v>15.660285690549479</v>
      </c>
    </row>
    <row r="21" spans="5:15" x14ac:dyDescent="0.25">
      <c r="E21" s="3" t="s">
        <v>13</v>
      </c>
      <c r="F21" s="8" t="s">
        <v>14</v>
      </c>
      <c r="G21" s="81">
        <v>4.7899999999999998E-2</v>
      </c>
      <c r="K21" s="63">
        <f t="shared" si="0"/>
        <v>0.19000000000000003</v>
      </c>
      <c r="L21" s="70">
        <v>16.099083486623048</v>
      </c>
      <c r="M21" s="70">
        <v>15.023433697945036</v>
      </c>
    </row>
    <row r="22" spans="5:15" x14ac:dyDescent="0.25">
      <c r="E22" s="3" t="s">
        <v>16</v>
      </c>
      <c r="F22" s="8" t="s">
        <v>17</v>
      </c>
      <c r="G22" s="82">
        <v>1.85</v>
      </c>
      <c r="K22" s="63">
        <f t="shared" si="0"/>
        <v>0.20000000000000004</v>
      </c>
      <c r="L22" s="70">
        <v>15.444376740598646</v>
      </c>
      <c r="M22" s="70">
        <v>14.443477367696801</v>
      </c>
    </row>
    <row r="23" spans="5:15" x14ac:dyDescent="0.25">
      <c r="E23" s="3" t="s">
        <v>19</v>
      </c>
      <c r="F23" s="8" t="s">
        <v>20</v>
      </c>
      <c r="G23" s="81">
        <v>0.1</v>
      </c>
      <c r="K23" s="63"/>
      <c r="L23" s="70"/>
      <c r="M23" s="70"/>
    </row>
    <row r="24" spans="5:15" ht="15.75" thickBot="1" x14ac:dyDescent="0.3">
      <c r="E24" s="4" t="s">
        <v>22</v>
      </c>
      <c r="F24" s="9" t="s">
        <v>23</v>
      </c>
      <c r="G24" s="20">
        <f>(G21+G22)*(G23-G21)</f>
        <v>9.8880590000000018E-2</v>
      </c>
      <c r="M24" s="63"/>
      <c r="N24" s="70"/>
      <c r="O24" s="70"/>
    </row>
    <row r="25" spans="5:15" x14ac:dyDescent="0.25">
      <c r="F25" s="5"/>
      <c r="M25" s="63"/>
      <c r="N25" s="70"/>
      <c r="O25" s="70"/>
    </row>
    <row r="26" spans="5:15" x14ac:dyDescent="0.25">
      <c r="E26" t="s">
        <v>26</v>
      </c>
      <c r="G26" s="1">
        <f>G15/G17</f>
        <v>0.99907256205249217</v>
      </c>
    </row>
    <row r="27" spans="5:15" x14ac:dyDescent="0.25">
      <c r="E27" t="s">
        <v>27</v>
      </c>
      <c r="G27" s="1">
        <f>G16/G17</f>
        <v>9.2743794750786983E-4</v>
      </c>
      <c r="J27" t="s">
        <v>34</v>
      </c>
      <c r="K27" s="53">
        <f>IS!AB46</f>
        <v>24.773362262492721</v>
      </c>
      <c r="L27" s="70">
        <f>IS!V42</f>
        <v>21.549867146098748</v>
      </c>
    </row>
    <row r="28" spans="5:15" x14ac:dyDescent="0.25">
      <c r="J28" t="s">
        <v>40</v>
      </c>
    </row>
    <row r="29" spans="5:15" x14ac:dyDescent="0.25">
      <c r="E29" t="s">
        <v>41</v>
      </c>
      <c r="F29" t="s">
        <v>33</v>
      </c>
      <c r="G29" s="1">
        <f>G26*G24+G19*G27*(1-G20)</f>
        <v>9.8822324967490452E-2</v>
      </c>
    </row>
    <row r="30" spans="5:15" x14ac:dyDescent="0.25">
      <c r="E30" t="s">
        <v>42</v>
      </c>
      <c r="F30" t="s">
        <v>43</v>
      </c>
      <c r="G30" s="1">
        <v>-0.03</v>
      </c>
      <c r="K30" s="1">
        <f>K27/L27-1</f>
        <v>0.1495830621386236</v>
      </c>
    </row>
    <row r="32" spans="5:15" x14ac:dyDescent="0.25">
      <c r="E32">
        <v>6.1899999999999997E-2</v>
      </c>
      <c r="F32">
        <v>3.6799999999999999E-2</v>
      </c>
    </row>
    <row r="33" spans="5:6" x14ac:dyDescent="0.25">
      <c r="E33">
        <v>4193</v>
      </c>
      <c r="F33">
        <v>189</v>
      </c>
    </row>
    <row r="34" spans="5:6" x14ac:dyDescent="0.25">
      <c r="E34">
        <f>E32*E33</f>
        <v>259.54669999999999</v>
      </c>
      <c r="F34">
        <f>F32*F33</f>
        <v>6.9551999999999996</v>
      </c>
    </row>
    <row r="35" spans="5:6" x14ac:dyDescent="0.25">
      <c r="F35">
        <f>F34+E34</f>
        <v>266.50189999999998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76F9-4EED-430C-8751-302A5AD8EC2B}">
  <dimension ref="B3:O39"/>
  <sheetViews>
    <sheetView topLeftCell="A4" workbookViewId="0">
      <selection activeCell="O13" sqref="O13"/>
    </sheetView>
  </sheetViews>
  <sheetFormatPr defaultRowHeight="15" x14ac:dyDescent="0.25"/>
  <cols>
    <col min="15" max="15" width="38" customWidth="1"/>
  </cols>
  <sheetData>
    <row r="3" spans="2:15" x14ac:dyDescent="0.25">
      <c r="B3" t="s">
        <v>43</v>
      </c>
      <c r="C3" t="s">
        <v>34</v>
      </c>
      <c r="D3" t="s">
        <v>35</v>
      </c>
    </row>
    <row r="4" spans="2:15" ht="15" customHeight="1" x14ac:dyDescent="0.25">
      <c r="B4" s="63">
        <v>-0.08</v>
      </c>
      <c r="C4" s="70">
        <v>22.866944442348448</v>
      </c>
      <c r="D4" s="70">
        <v>21.081817452141166</v>
      </c>
      <c r="O4" s="87" t="s">
        <v>44</v>
      </c>
    </row>
    <row r="5" spans="2:15" x14ac:dyDescent="0.25">
      <c r="B5" s="63">
        <f t="shared" ref="B5:B20" si="0">B4+0.01</f>
        <v>-7.0000000000000007E-2</v>
      </c>
      <c r="C5" s="70">
        <v>23.530402263148712</v>
      </c>
      <c r="D5" s="70">
        <v>21.611080079006936</v>
      </c>
      <c r="O5" s="87"/>
    </row>
    <row r="6" spans="2:15" x14ac:dyDescent="0.25">
      <c r="B6" s="63">
        <f t="shared" si="0"/>
        <v>-6.0000000000000005E-2</v>
      </c>
      <c r="C6" s="70">
        <v>24.277407257929216</v>
      </c>
      <c r="D6" s="70">
        <v>22.192803265585518</v>
      </c>
      <c r="O6" s="87"/>
    </row>
    <row r="7" spans="2:15" x14ac:dyDescent="0.25">
      <c r="B7" s="63">
        <f t="shared" si="0"/>
        <v>-0.05</v>
      </c>
      <c r="C7" s="70">
        <v>25.124801088180966</v>
      </c>
      <c r="D7" s="70">
        <v>22.833750873030247</v>
      </c>
      <c r="O7" s="87"/>
    </row>
    <row r="8" spans="2:15" x14ac:dyDescent="0.25">
      <c r="B8" s="63">
        <f t="shared" si="0"/>
        <v>-0.04</v>
      </c>
      <c r="C8" s="70">
        <v>26.094278139622133</v>
      </c>
      <c r="D8" s="70">
        <v>23.541667527387915</v>
      </c>
    </row>
    <row r="9" spans="2:15" x14ac:dyDescent="0.25">
      <c r="B9" s="63">
        <f t="shared" si="0"/>
        <v>-0.03</v>
      </c>
      <c r="C9" s="70">
        <v>27.214269017247663</v>
      </c>
      <c r="D9" s="70">
        <v>24.325427112734673</v>
      </c>
      <c r="O9" s="71"/>
    </row>
    <row r="10" spans="2:15" x14ac:dyDescent="0.25">
      <c r="B10" s="63">
        <f t="shared" si="0"/>
        <v>-1.9999999999999997E-2</v>
      </c>
      <c r="C10" s="70">
        <v>28.522775121777233</v>
      </c>
      <c r="D10" s="70">
        <v>25.195203780882895</v>
      </c>
      <c r="O10" s="71"/>
    </row>
    <row r="11" spans="2:15" x14ac:dyDescent="0.25">
      <c r="B11" s="63">
        <f t="shared" si="0"/>
        <v>-9.9999999999999967E-3</v>
      </c>
      <c r="C11" s="70">
        <v>30.071766090955752</v>
      </c>
      <c r="D11" s="70">
        <v>26.162668810308787</v>
      </c>
    </row>
    <row r="12" spans="2:15" x14ac:dyDescent="0.25">
      <c r="B12" s="63">
        <f t="shared" si="0"/>
        <v>0</v>
      </c>
      <c r="C12" s="70">
        <v>31.93</v>
      </c>
      <c r="D12" s="70">
        <v>27.24</v>
      </c>
    </row>
    <row r="13" spans="2:15" x14ac:dyDescent="0.25">
      <c r="B13" s="63">
        <f t="shared" si="0"/>
        <v>0.01</v>
      </c>
      <c r="C13" s="70">
        <v>34.216100488390246</v>
      </c>
      <c r="D13" s="70">
        <v>28.446227781352288</v>
      </c>
    </row>
    <row r="14" spans="2:15" x14ac:dyDescent="0.25">
      <c r="B14" s="63">
        <f t="shared" si="0"/>
        <v>0.02</v>
      </c>
      <c r="C14" s="70">
        <v>37.076940388491998</v>
      </c>
      <c r="D14" s="70">
        <v>29.795363477113245</v>
      </c>
    </row>
    <row r="15" spans="2:15" x14ac:dyDescent="0.25">
      <c r="B15" s="63">
        <f t="shared" si="0"/>
        <v>0.03</v>
      </c>
      <c r="C15" s="70">
        <v>40.76915002260175</v>
      </c>
      <c r="D15" s="70">
        <v>31.30891455013511</v>
      </c>
    </row>
    <row r="16" spans="2:15" x14ac:dyDescent="0.25">
      <c r="B16" s="63">
        <f t="shared" si="0"/>
        <v>0.04</v>
      </c>
      <c r="C16" s="70">
        <v>45.716736636846285</v>
      </c>
      <c r="D16" s="70">
        <v>33.010194057923066</v>
      </c>
    </row>
    <row r="17" spans="2:4" x14ac:dyDescent="0.25">
      <c r="B17" s="63">
        <f t="shared" si="0"/>
        <v>0.05</v>
      </c>
      <c r="C17" s="70">
        <v>52.691095477746963</v>
      </c>
      <c r="D17" s="70">
        <v>34.925991134852502</v>
      </c>
    </row>
    <row r="18" spans="2:4" x14ac:dyDescent="0.25">
      <c r="B18" s="63">
        <f t="shared" si="0"/>
        <v>6.0000000000000005E-2</v>
      </c>
      <c r="C18" s="70">
        <v>63.258417309267578</v>
      </c>
      <c r="D18" s="70">
        <v>37.087090956453125</v>
      </c>
    </row>
    <row r="19" spans="2:4" x14ac:dyDescent="0.25">
      <c r="B19" s="63">
        <f t="shared" si="0"/>
        <v>7.0000000000000007E-2</v>
      </c>
      <c r="C19" s="70">
        <v>81.15847294587843</v>
      </c>
      <c r="D19" s="70">
        <v>39.528870723612272</v>
      </c>
    </row>
    <row r="20" spans="2:4" x14ac:dyDescent="0.25">
      <c r="B20" s="63">
        <f t="shared" si="0"/>
        <v>0.08</v>
      </c>
      <c r="C20" s="70">
        <v>118.07855471372164</v>
      </c>
      <c r="D20" s="70">
        <v>42.29198235030703</v>
      </c>
    </row>
    <row r="23" spans="2:4" x14ac:dyDescent="0.25">
      <c r="B23" t="s">
        <v>33</v>
      </c>
      <c r="C23" t="s">
        <v>34</v>
      </c>
      <c r="D23" t="s">
        <v>35</v>
      </c>
    </row>
    <row r="24" spans="2:4" x14ac:dyDescent="0.25">
      <c r="B24" s="63">
        <v>0.05</v>
      </c>
      <c r="C24" s="70">
        <v>44.296451454239516</v>
      </c>
      <c r="D24" s="70">
        <v>35.981406166481605</v>
      </c>
    </row>
    <row r="25" spans="2:4" x14ac:dyDescent="0.25">
      <c r="B25" s="63">
        <f>B24+0.01</f>
        <v>6.0000000000000005E-2</v>
      </c>
      <c r="C25" s="70">
        <v>39.243008535032843</v>
      </c>
      <c r="D25" s="70">
        <v>32.872256542707355</v>
      </c>
    </row>
    <row r="26" spans="2:4" x14ac:dyDescent="0.25">
      <c r="B26" s="63">
        <f t="shared" ref="B26:B39" si="1">B25+0.01</f>
        <v>7.0000000000000007E-2</v>
      </c>
      <c r="C26" s="70">
        <v>35.222421682489255</v>
      </c>
      <c r="D26" s="70">
        <v>30.200241531674973</v>
      </c>
    </row>
    <row r="27" spans="2:4" x14ac:dyDescent="0.25">
      <c r="B27" s="63">
        <f t="shared" si="1"/>
        <v>0.08</v>
      </c>
      <c r="C27" s="70">
        <v>31.951883373336653</v>
      </c>
      <c r="D27" s="70">
        <v>27.890875763945171</v>
      </c>
    </row>
    <row r="28" spans="2:4" x14ac:dyDescent="0.25">
      <c r="B28" s="63">
        <f t="shared" si="1"/>
        <v>0.09</v>
      </c>
      <c r="C28" s="70">
        <v>29.242922650290662</v>
      </c>
      <c r="D28" s="70">
        <v>25.88399485204021</v>
      </c>
    </row>
    <row r="29" spans="2:4" x14ac:dyDescent="0.25">
      <c r="B29" s="63">
        <f t="shared" si="1"/>
        <v>9.9999999999999992E-2</v>
      </c>
      <c r="C29" s="70">
        <v>26.96511715787884</v>
      </c>
      <c r="D29" s="70">
        <v>24.130759432089469</v>
      </c>
    </row>
    <row r="30" spans="2:4" x14ac:dyDescent="0.25">
      <c r="B30" s="63">
        <f t="shared" si="1"/>
        <v>0.10999999999999999</v>
      </c>
      <c r="C30" s="70">
        <v>25.025357527091316</v>
      </c>
      <c r="D30" s="70">
        <v>22.591327209328966</v>
      </c>
    </row>
    <row r="31" spans="2:4" x14ac:dyDescent="0.25">
      <c r="B31" s="63">
        <f t="shared" si="1"/>
        <v>0.11999999999999998</v>
      </c>
      <c r="C31" s="70">
        <v>23.355406314606931</v>
      </c>
      <c r="D31" s="70">
        <v>21.233036272411091</v>
      </c>
    </row>
    <row r="32" spans="2:4" x14ac:dyDescent="0.25">
      <c r="B32" s="63">
        <f t="shared" si="1"/>
        <v>0.12999999999999998</v>
      </c>
      <c r="C32" s="70">
        <v>21.90412260244528</v>
      </c>
      <c r="D32" s="70">
        <v>20.028981316796454</v>
      </c>
    </row>
    <row r="33" spans="2:4" x14ac:dyDescent="0.25">
      <c r="B33" s="63">
        <f t="shared" si="1"/>
        <v>0.13999999999999999</v>
      </c>
      <c r="C33" s="70">
        <v>20.632431081284686</v>
      </c>
      <c r="D33" s="70">
        <v>18.956893045175402</v>
      </c>
    </row>
    <row r="34" spans="2:4" x14ac:dyDescent="0.25">
      <c r="B34" s="63">
        <f t="shared" si="1"/>
        <v>0.15</v>
      </c>
      <c r="C34" s="70">
        <v>19.509968299126562</v>
      </c>
      <c r="D34" s="70">
        <v>17.998252450653432</v>
      </c>
    </row>
    <row r="35" spans="2:4" x14ac:dyDescent="0.25">
      <c r="B35" s="63">
        <f t="shared" si="1"/>
        <v>0.16</v>
      </c>
      <c r="C35" s="70">
        <v>18.512788155951693</v>
      </c>
      <c r="D35" s="70">
        <v>17.137587803008856</v>
      </c>
    </row>
    <row r="36" spans="2:4" x14ac:dyDescent="0.25">
      <c r="B36" s="63">
        <f t="shared" si="1"/>
        <v>0.17</v>
      </c>
      <c r="C36" s="70">
        <v>17.621755894267121</v>
      </c>
      <c r="D36" s="70">
        <v>16.361914317078423</v>
      </c>
    </row>
    <row r="37" spans="2:4" x14ac:dyDescent="0.25">
      <c r="B37" s="63">
        <f t="shared" si="1"/>
        <v>0.18000000000000002</v>
      </c>
      <c r="C37" s="70">
        <v>16.821401074862187</v>
      </c>
      <c r="D37" s="70">
        <v>15.660285690549479</v>
      </c>
    </row>
    <row r="38" spans="2:4" x14ac:dyDescent="0.25">
      <c r="B38" s="63">
        <f t="shared" si="1"/>
        <v>0.19000000000000003</v>
      </c>
      <c r="C38" s="70">
        <v>16.099083486623048</v>
      </c>
      <c r="D38" s="70">
        <v>15.023433697945036</v>
      </c>
    </row>
    <row r="39" spans="2:4" x14ac:dyDescent="0.25">
      <c r="B39" s="63">
        <f t="shared" si="1"/>
        <v>0.20000000000000004</v>
      </c>
      <c r="C39" s="70">
        <v>15.444376740598646</v>
      </c>
      <c r="D39" s="70">
        <v>14.443477367696801</v>
      </c>
    </row>
  </sheetData>
  <mergeCells count="1">
    <mergeCell ref="O4:O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02C0-AA6F-400E-8F51-DACB4442E023}">
  <dimension ref="A1:BQ48"/>
  <sheetViews>
    <sheetView tabSelected="1" zoomScale="80" zoomScaleNormal="80" workbookViewId="0">
      <pane xSplit="3" topLeftCell="N1" activePane="topRight" state="frozen"/>
      <selection pane="topRight" activeCell="T23" sqref="T23"/>
    </sheetView>
  </sheetViews>
  <sheetFormatPr defaultColWidth="12" defaultRowHeight="15" outlineLevelCol="1" x14ac:dyDescent="0.25"/>
  <cols>
    <col min="1" max="2" width="9.140625" customWidth="1"/>
    <col min="3" max="3" width="31.140625" style="22" customWidth="1"/>
    <col min="4" max="7" width="12" customWidth="1" outlineLevel="1"/>
    <col min="8" max="8" width="12" customWidth="1"/>
    <col min="9" max="9" width="13" bestFit="1" customWidth="1" outlineLevel="1"/>
    <col min="10" max="12" width="12" customWidth="1" outlineLevel="1"/>
    <col min="14" max="17" width="12" customWidth="1" outlineLevel="1"/>
    <col min="19" max="21" width="12" customWidth="1" outlineLevel="1"/>
    <col min="22" max="22" width="15.5703125" customWidth="1" outlineLevel="1"/>
    <col min="24" max="24" width="13.28515625" customWidth="1"/>
    <col min="25" max="25" width="15" bestFit="1" customWidth="1"/>
    <col min="27" max="27" width="21.5703125" customWidth="1"/>
    <col min="28" max="28" width="15.140625" bestFit="1" customWidth="1"/>
  </cols>
  <sheetData>
    <row r="1" spans="1:69" x14ac:dyDescent="0.25">
      <c r="P1" s="70"/>
      <c r="Q1" s="53"/>
      <c r="R1" s="18"/>
      <c r="U1" s="53"/>
      <c r="X1" s="16"/>
      <c r="Y1" s="16"/>
      <c r="Z1" s="16"/>
    </row>
    <row r="3" spans="1:69" ht="15.75" thickBot="1" x14ac:dyDescent="0.3">
      <c r="W3">
        <v>1</v>
      </c>
      <c r="X3">
        <v>2</v>
      </c>
      <c r="Y3">
        <v>3</v>
      </c>
      <c r="Z3">
        <v>4</v>
      </c>
      <c r="AA3">
        <v>5</v>
      </c>
      <c r="AB3">
        <v>6</v>
      </c>
      <c r="AC3">
        <f>AB3+1</f>
        <v>7</v>
      </c>
      <c r="AD3">
        <f t="shared" ref="AD3:BQ3" si="0">AC3+1</f>
        <v>8</v>
      </c>
      <c r="AE3">
        <f t="shared" si="0"/>
        <v>9</v>
      </c>
      <c r="AF3">
        <f t="shared" si="0"/>
        <v>10</v>
      </c>
      <c r="AG3">
        <f t="shared" si="0"/>
        <v>11</v>
      </c>
      <c r="AH3">
        <f t="shared" si="0"/>
        <v>12</v>
      </c>
      <c r="AI3">
        <f t="shared" si="0"/>
        <v>13</v>
      </c>
      <c r="AJ3">
        <f t="shared" si="0"/>
        <v>14</v>
      </c>
      <c r="AK3">
        <f t="shared" si="0"/>
        <v>15</v>
      </c>
      <c r="AL3">
        <f t="shared" si="0"/>
        <v>16</v>
      </c>
      <c r="AM3">
        <f t="shared" si="0"/>
        <v>17</v>
      </c>
      <c r="AN3">
        <f t="shared" si="0"/>
        <v>18</v>
      </c>
      <c r="AO3">
        <f t="shared" si="0"/>
        <v>19</v>
      </c>
      <c r="AP3">
        <f t="shared" si="0"/>
        <v>20</v>
      </c>
      <c r="AQ3">
        <f t="shared" si="0"/>
        <v>21</v>
      </c>
      <c r="AR3">
        <f t="shared" si="0"/>
        <v>22</v>
      </c>
      <c r="AS3">
        <f t="shared" si="0"/>
        <v>23</v>
      </c>
      <c r="AT3">
        <f t="shared" si="0"/>
        <v>24</v>
      </c>
      <c r="AU3">
        <f t="shared" si="0"/>
        <v>25</v>
      </c>
      <c r="AV3">
        <f t="shared" si="0"/>
        <v>26</v>
      </c>
      <c r="AW3">
        <f t="shared" si="0"/>
        <v>27</v>
      </c>
      <c r="AX3">
        <f t="shared" si="0"/>
        <v>28</v>
      </c>
      <c r="AY3">
        <f t="shared" si="0"/>
        <v>29</v>
      </c>
      <c r="AZ3">
        <f t="shared" si="0"/>
        <v>30</v>
      </c>
      <c r="BA3">
        <f t="shared" si="0"/>
        <v>31</v>
      </c>
      <c r="BB3">
        <f t="shared" si="0"/>
        <v>32</v>
      </c>
      <c r="BC3">
        <f t="shared" si="0"/>
        <v>33</v>
      </c>
      <c r="BD3">
        <f t="shared" si="0"/>
        <v>34</v>
      </c>
      <c r="BE3">
        <f t="shared" si="0"/>
        <v>35</v>
      </c>
      <c r="BF3">
        <f t="shared" si="0"/>
        <v>36</v>
      </c>
      <c r="BG3">
        <f t="shared" si="0"/>
        <v>37</v>
      </c>
      <c r="BH3">
        <f t="shared" si="0"/>
        <v>38</v>
      </c>
      <c r="BI3">
        <f t="shared" si="0"/>
        <v>39</v>
      </c>
      <c r="BJ3">
        <f t="shared" si="0"/>
        <v>40</v>
      </c>
      <c r="BK3">
        <f t="shared" si="0"/>
        <v>41</v>
      </c>
      <c r="BL3">
        <f t="shared" si="0"/>
        <v>42</v>
      </c>
      <c r="BM3">
        <f t="shared" si="0"/>
        <v>43</v>
      </c>
      <c r="BN3">
        <f t="shared" si="0"/>
        <v>44</v>
      </c>
      <c r="BO3">
        <f t="shared" si="0"/>
        <v>45</v>
      </c>
      <c r="BP3">
        <f t="shared" si="0"/>
        <v>46</v>
      </c>
      <c r="BQ3">
        <f t="shared" si="0"/>
        <v>47</v>
      </c>
    </row>
    <row r="4" spans="1:69" s="5" customFormat="1" x14ac:dyDescent="0.25">
      <c r="A4" s="21"/>
      <c r="B4" s="21"/>
      <c r="C4" s="88" t="s">
        <v>45</v>
      </c>
      <c r="D4" s="89" t="s">
        <v>46</v>
      </c>
      <c r="E4" s="90" t="s">
        <v>47</v>
      </c>
      <c r="F4" s="90" t="s">
        <v>48</v>
      </c>
      <c r="G4" s="91" t="s">
        <v>49</v>
      </c>
      <c r="H4" s="92" t="s">
        <v>50</v>
      </c>
      <c r="I4" s="93" t="s">
        <v>51</v>
      </c>
      <c r="J4" s="90" t="s">
        <v>52</v>
      </c>
      <c r="K4" s="90" t="s">
        <v>53</v>
      </c>
      <c r="L4" s="91" t="s">
        <v>54</v>
      </c>
      <c r="M4" s="92" t="s">
        <v>55</v>
      </c>
      <c r="N4" s="93" t="s">
        <v>56</v>
      </c>
      <c r="O4" s="90" t="s">
        <v>57</v>
      </c>
      <c r="P4" s="90" t="s">
        <v>58</v>
      </c>
      <c r="Q4" s="94" t="s">
        <v>59</v>
      </c>
      <c r="R4" s="92" t="s">
        <v>60</v>
      </c>
      <c r="S4" s="93" t="s">
        <v>61</v>
      </c>
      <c r="T4" s="90" t="s">
        <v>62</v>
      </c>
      <c r="U4" s="90" t="s">
        <v>63</v>
      </c>
      <c r="V4" s="90" t="s">
        <v>64</v>
      </c>
      <c r="W4" s="95" t="s">
        <v>65</v>
      </c>
      <c r="X4" s="96" t="s">
        <v>66</v>
      </c>
      <c r="Y4" s="97" t="s">
        <v>67</v>
      </c>
      <c r="Z4" s="97" t="s">
        <v>68</v>
      </c>
      <c r="AA4" s="97" t="s">
        <v>69</v>
      </c>
      <c r="AB4" s="90" t="s">
        <v>70</v>
      </c>
      <c r="AC4" s="90" t="s">
        <v>71</v>
      </c>
      <c r="AD4" s="90" t="s">
        <v>72</v>
      </c>
      <c r="AE4" s="90" t="s">
        <v>73</v>
      </c>
      <c r="AF4" s="90" t="s">
        <v>74</v>
      </c>
      <c r="AG4" s="90" t="s">
        <v>75</v>
      </c>
      <c r="AH4" s="90" t="s">
        <v>76</v>
      </c>
      <c r="AI4" s="90" t="s">
        <v>77</v>
      </c>
      <c r="AJ4" s="90" t="s">
        <v>78</v>
      </c>
      <c r="AK4" s="90" t="s">
        <v>79</v>
      </c>
      <c r="AL4" s="90" t="s">
        <v>80</v>
      </c>
      <c r="AM4" s="90" t="s">
        <v>81</v>
      </c>
      <c r="AN4" s="90" t="s">
        <v>82</v>
      </c>
      <c r="AO4" s="90" t="s">
        <v>83</v>
      </c>
      <c r="AP4" s="90" t="s">
        <v>84</v>
      </c>
      <c r="AQ4" s="90" t="s">
        <v>85</v>
      </c>
      <c r="AR4" s="90" t="s">
        <v>86</v>
      </c>
      <c r="AS4" s="90" t="s">
        <v>87</v>
      </c>
      <c r="AT4" s="90" t="s">
        <v>88</v>
      </c>
      <c r="AU4" s="90" t="s">
        <v>89</v>
      </c>
      <c r="AV4" s="90" t="s">
        <v>90</v>
      </c>
      <c r="AW4" s="90" t="s">
        <v>91</v>
      </c>
      <c r="AX4" s="90" t="s">
        <v>92</v>
      </c>
      <c r="AY4" s="90" t="s">
        <v>191</v>
      </c>
      <c r="AZ4" s="90" t="s">
        <v>192</v>
      </c>
      <c r="BA4" s="90" t="s">
        <v>193</v>
      </c>
      <c r="BB4" s="90" t="s">
        <v>194</v>
      </c>
      <c r="BC4" s="90" t="s">
        <v>195</v>
      </c>
      <c r="BD4" s="90" t="s">
        <v>196</v>
      </c>
      <c r="BE4" s="90" t="s">
        <v>197</v>
      </c>
      <c r="BF4" s="90" t="s">
        <v>198</v>
      </c>
      <c r="BG4" s="90" t="s">
        <v>199</v>
      </c>
      <c r="BH4" s="90" t="s">
        <v>200</v>
      </c>
      <c r="BI4" s="90" t="s">
        <v>201</v>
      </c>
      <c r="BJ4" s="90" t="s">
        <v>202</v>
      </c>
      <c r="BK4" s="90" t="s">
        <v>203</v>
      </c>
      <c r="BL4" s="90" t="s">
        <v>204</v>
      </c>
      <c r="BM4" s="90" t="s">
        <v>205</v>
      </c>
      <c r="BN4" s="90" t="s">
        <v>206</v>
      </c>
      <c r="BO4" s="90" t="s">
        <v>207</v>
      </c>
      <c r="BP4" s="90" t="s">
        <v>208</v>
      </c>
    </row>
    <row r="5" spans="1:69" s="25" customFormat="1" x14ac:dyDescent="0.25">
      <c r="A5"/>
      <c r="B5"/>
      <c r="C5" s="98" t="s">
        <v>93</v>
      </c>
      <c r="D5" s="99">
        <v>133388</v>
      </c>
      <c r="E5" s="100">
        <v>154020</v>
      </c>
      <c r="F5" s="100">
        <v>188233</v>
      </c>
      <c r="G5" s="100">
        <f>653604-SUM(D5:F5)</f>
        <v>177963</v>
      </c>
      <c r="H5" s="101">
        <f>SUM(IS!$D5:$G5)</f>
        <v>653604</v>
      </c>
      <c r="I5" s="101">
        <v>259939</v>
      </c>
      <c r="J5" s="100">
        <v>325883</v>
      </c>
      <c r="K5" s="102">
        <v>384757</v>
      </c>
      <c r="L5" s="102">
        <f>1318014-SUM(I5:K5)</f>
        <v>347435</v>
      </c>
      <c r="M5" s="103">
        <f>SUM(IS!$I5:$L5)</f>
        <v>1318014</v>
      </c>
      <c r="N5" s="103">
        <v>355708</v>
      </c>
      <c r="O5" s="102">
        <v>401977</v>
      </c>
      <c r="P5" s="102">
        <v>265748</v>
      </c>
      <c r="Q5" s="104">
        <v>332197</v>
      </c>
      <c r="R5" s="105">
        <f>SUM(IS!$N5:$Q5)</f>
        <v>1355630</v>
      </c>
      <c r="S5" s="105">
        <f>Q5*(1+$R$38)</f>
        <v>382026.55</v>
      </c>
      <c r="T5" s="106">
        <f>S5*(1+$R$38)</f>
        <v>439330.53249999997</v>
      </c>
      <c r="U5" s="106">
        <f>T5*(1+$R$38)</f>
        <v>505230.11237499991</v>
      </c>
      <c r="V5" s="106">
        <f>U5*(1+$R$38)</f>
        <v>581014.6292312498</v>
      </c>
      <c r="W5" s="105">
        <f>SUM(S5:V5)</f>
        <v>1907601.82410625</v>
      </c>
      <c r="X5" s="107">
        <f>W5*(1+$R$38)</f>
        <v>2193742.0977221872</v>
      </c>
      <c r="Y5" s="107">
        <f>X5*(1+$R$38)</f>
        <v>2522803.4123805151</v>
      </c>
      <c r="Z5" s="107">
        <f>Y5*(1+$R$38)</f>
        <v>2901223.9242375921</v>
      </c>
      <c r="AA5" s="107">
        <f>Z5*(1+$R$38)</f>
        <v>3336407.5128732305</v>
      </c>
      <c r="AB5" s="105">
        <f>AA5*(1+$R$38)</f>
        <v>3836868.6398042147</v>
      </c>
      <c r="AC5" s="105">
        <f t="shared" ref="AC5:AX5" si="1">AB5*(1+tgr)</f>
        <v>3721762.5806100881</v>
      </c>
      <c r="AD5" s="105">
        <f t="shared" si="1"/>
        <v>3610109.7031917851</v>
      </c>
      <c r="AE5" s="105">
        <f t="shared" si="1"/>
        <v>3501806.4120960315</v>
      </c>
      <c r="AF5" s="105">
        <f t="shared" si="1"/>
        <v>3396752.2197331502</v>
      </c>
      <c r="AG5" s="105">
        <f t="shared" si="1"/>
        <v>3294849.6531411558</v>
      </c>
      <c r="AH5" s="105">
        <f t="shared" si="1"/>
        <v>3196004.1635469212</v>
      </c>
      <c r="AI5" s="105">
        <f t="shared" si="1"/>
        <v>3100124.0386405136</v>
      </c>
      <c r="AJ5" s="105">
        <f t="shared" si="1"/>
        <v>3007120.317481298</v>
      </c>
      <c r="AK5" s="105">
        <f t="shared" si="1"/>
        <v>2916906.7079568589</v>
      </c>
      <c r="AL5" s="105">
        <f t="shared" si="1"/>
        <v>2829399.5067181531</v>
      </c>
      <c r="AM5" s="105">
        <f t="shared" si="1"/>
        <v>2744517.5215166085</v>
      </c>
      <c r="AN5" s="105">
        <f t="shared" si="1"/>
        <v>2662181.9958711104</v>
      </c>
      <c r="AO5" s="105">
        <f t="shared" si="1"/>
        <v>2582316.5359949768</v>
      </c>
      <c r="AP5" s="105">
        <f t="shared" si="1"/>
        <v>2504847.0399151272</v>
      </c>
      <c r="AQ5" s="105">
        <f t="shared" si="1"/>
        <v>2429701.6287176735</v>
      </c>
      <c r="AR5" s="105">
        <f t="shared" si="1"/>
        <v>2356810.5798561433</v>
      </c>
      <c r="AS5" s="105">
        <f t="shared" si="1"/>
        <v>2286106.262460459</v>
      </c>
      <c r="AT5" s="105">
        <f t="shared" si="1"/>
        <v>2217523.0745866452</v>
      </c>
      <c r="AU5" s="105">
        <f t="shared" si="1"/>
        <v>2150997.3823490459</v>
      </c>
      <c r="AV5" s="105">
        <f t="shared" si="1"/>
        <v>2086467.4608785745</v>
      </c>
      <c r="AW5" s="105">
        <f t="shared" si="1"/>
        <v>2023873.4370522173</v>
      </c>
      <c r="AX5" s="105">
        <f t="shared" si="1"/>
        <v>1963157.2339406507</v>
      </c>
      <c r="AY5" s="105">
        <f t="shared" ref="AY5" si="2">AX5*(1+tgr)</f>
        <v>1904262.5169224311</v>
      </c>
      <c r="AZ5" s="105">
        <f t="shared" ref="AZ5" si="3">AY5*(1+tgr)</f>
        <v>1847134.6414147581</v>
      </c>
      <c r="BA5" s="105">
        <f t="shared" ref="BA5" si="4">AZ5*(1+tgr)</f>
        <v>1791720.6021723154</v>
      </c>
      <c r="BB5" s="105">
        <f t="shared" ref="BB5" si="5">BA5*(1+tgr)</f>
        <v>1737968.9841071458</v>
      </c>
      <c r="BC5" s="105">
        <f t="shared" ref="BC5" si="6">BB5*(1+tgr)</f>
        <v>1685829.9145839314</v>
      </c>
      <c r="BD5" s="105">
        <f t="shared" ref="BD5" si="7">BC5*(1+tgr)</f>
        <v>1635255.0171464134</v>
      </c>
      <c r="BE5" s="105">
        <f t="shared" ref="BE5" si="8">BD5*(1+tgr)</f>
        <v>1586197.366632021</v>
      </c>
      <c r="BF5" s="105">
        <f t="shared" ref="BF5" si="9">BE5*(1+tgr)</f>
        <v>1538611.4456330603</v>
      </c>
      <c r="BG5" s="105">
        <f t="shared" ref="BG5" si="10">BF5*(1+tgr)</f>
        <v>1492453.1022640686</v>
      </c>
      <c r="BH5" s="105">
        <f t="shared" ref="BH5" si="11">BG5*(1+tgr)</f>
        <v>1447679.5091961464</v>
      </c>
      <c r="BI5" s="105">
        <f t="shared" ref="BI5" si="12">BH5*(1+tgr)</f>
        <v>1404249.1239202619</v>
      </c>
      <c r="BJ5" s="105">
        <f t="shared" ref="BJ5" si="13">BI5*(1+tgr)</f>
        <v>1362121.6502026541</v>
      </c>
      <c r="BK5" s="105">
        <f t="shared" ref="BK5" si="14">BJ5*(1+tgr)</f>
        <v>1321258.0006965743</v>
      </c>
      <c r="BL5" s="105">
        <f t="shared" ref="BL5" si="15">BK5*(1+tgr)</f>
        <v>1281620.2606756771</v>
      </c>
      <c r="BM5" s="105">
        <f t="shared" ref="BM5" si="16">BL5*(1+tgr)</f>
        <v>1243171.6528554067</v>
      </c>
      <c r="BN5" s="105">
        <f t="shared" ref="BN5" si="17">BM5*(1+tgr)</f>
        <v>1205876.5032697446</v>
      </c>
      <c r="BO5" s="105">
        <f t="shared" ref="BO5" si="18">BN5*(1+tgr)</f>
        <v>1169700.2081716522</v>
      </c>
      <c r="BP5" s="108">
        <f t="shared" ref="BP5" si="19">BO5*(1+tgr)</f>
        <v>1134609.2019265026</v>
      </c>
    </row>
    <row r="6" spans="1:69" s="25" customFormat="1" x14ac:dyDescent="0.25">
      <c r="A6"/>
      <c r="B6"/>
      <c r="C6" s="109" t="s">
        <v>94</v>
      </c>
      <c r="D6" s="110">
        <v>79494</v>
      </c>
      <c r="E6" s="31">
        <v>94701</v>
      </c>
      <c r="F6" s="31">
        <v>109583</v>
      </c>
      <c r="G6" s="31">
        <f>382735-SUM(D6:F6)</f>
        <v>98957</v>
      </c>
      <c r="H6" s="65">
        <f>SUM(IS!$D6:$G6)</f>
        <v>382735</v>
      </c>
      <c r="I6" s="65">
        <v>146121</v>
      </c>
      <c r="J6" s="31">
        <v>166889</v>
      </c>
      <c r="K6" s="32">
        <v>190675</v>
      </c>
      <c r="L6" s="32">
        <f>684875-SUM(I6:K6)</f>
        <v>181190</v>
      </c>
      <c r="M6" s="111">
        <f>SUM(IS!$I6:$L6)</f>
        <v>684875</v>
      </c>
      <c r="N6" s="111">
        <v>173501</v>
      </c>
      <c r="O6" s="32">
        <v>192879</v>
      </c>
      <c r="P6" s="112">
        <v>143519</v>
      </c>
      <c r="Q6" s="113">
        <v>165524</v>
      </c>
      <c r="R6" s="114">
        <f>SUM(IS!$N6:$Q6)</f>
        <v>675423</v>
      </c>
      <c r="S6" s="114">
        <f>S5*$Z$40</f>
        <v>191013.27499999999</v>
      </c>
      <c r="T6" s="34">
        <f>T5*$Z$40</f>
        <v>219665.26624999999</v>
      </c>
      <c r="U6" s="34">
        <f>U5*$Z$40</f>
        <v>252615.05618749995</v>
      </c>
      <c r="V6" s="34">
        <f>V5*$Z$40</f>
        <v>290507.3146156249</v>
      </c>
      <c r="W6" s="114">
        <f t="shared" ref="W6:W17" si="20">SUM(S6:V6)</f>
        <v>953800.91205312498</v>
      </c>
      <c r="X6" s="114">
        <f>X5*$Z$40</f>
        <v>1096871.0488610936</v>
      </c>
      <c r="Y6" s="114">
        <f t="shared" ref="Y6:BP6" si="21">Y5*$Z$40</f>
        <v>1261401.7061902576</v>
      </c>
      <c r="Z6" s="114">
        <f t="shared" si="21"/>
        <v>1450611.9621187961</v>
      </c>
      <c r="AA6" s="114">
        <f t="shared" si="21"/>
        <v>1668203.7564366153</v>
      </c>
      <c r="AB6" s="114">
        <f t="shared" si="21"/>
        <v>1918434.3199021074</v>
      </c>
      <c r="AC6" s="114">
        <f t="shared" si="21"/>
        <v>1860881.290305044</v>
      </c>
      <c r="AD6" s="114">
        <f t="shared" si="21"/>
        <v>1805054.8515958926</v>
      </c>
      <c r="AE6" s="114">
        <f t="shared" si="21"/>
        <v>1750903.2060480157</v>
      </c>
      <c r="AF6" s="114">
        <f t="shared" si="21"/>
        <v>1698376.1098665751</v>
      </c>
      <c r="AG6" s="114">
        <f t="shared" si="21"/>
        <v>1647424.8265705779</v>
      </c>
      <c r="AH6" s="114">
        <f t="shared" si="21"/>
        <v>1598002.0817734606</v>
      </c>
      <c r="AI6" s="114">
        <f t="shared" si="21"/>
        <v>1550062.0193202568</v>
      </c>
      <c r="AJ6" s="114">
        <f t="shared" si="21"/>
        <v>1503560.158740649</v>
      </c>
      <c r="AK6" s="114">
        <f t="shared" si="21"/>
        <v>1458453.3539784295</v>
      </c>
      <c r="AL6" s="114">
        <f t="shared" si="21"/>
        <v>1414699.7533590766</v>
      </c>
      <c r="AM6" s="114">
        <f t="shared" si="21"/>
        <v>1372258.7607583043</v>
      </c>
      <c r="AN6" s="114">
        <f t="shared" si="21"/>
        <v>1331090.9979355552</v>
      </c>
      <c r="AO6" s="114">
        <f t="shared" si="21"/>
        <v>1291158.2679974884</v>
      </c>
      <c r="AP6" s="114">
        <f t="shared" si="21"/>
        <v>1252423.5199575636</v>
      </c>
      <c r="AQ6" s="114">
        <f t="shared" si="21"/>
        <v>1214850.8143588367</v>
      </c>
      <c r="AR6" s="114">
        <f t="shared" si="21"/>
        <v>1178405.2899280717</v>
      </c>
      <c r="AS6" s="114">
        <f t="shared" si="21"/>
        <v>1143053.1312302295</v>
      </c>
      <c r="AT6" s="114">
        <f t="shared" si="21"/>
        <v>1108761.5372933226</v>
      </c>
      <c r="AU6" s="114">
        <f t="shared" si="21"/>
        <v>1075498.691174523</v>
      </c>
      <c r="AV6" s="114">
        <f t="shared" si="21"/>
        <v>1043233.7304392873</v>
      </c>
      <c r="AW6" s="114">
        <f t="shared" si="21"/>
        <v>1011936.7185261087</v>
      </c>
      <c r="AX6" s="114">
        <f t="shared" si="21"/>
        <v>981578.61697032535</v>
      </c>
      <c r="AY6" s="114">
        <f t="shared" si="21"/>
        <v>952131.25846121553</v>
      </c>
      <c r="AZ6" s="114">
        <f t="shared" si="21"/>
        <v>923567.32070737903</v>
      </c>
      <c r="BA6" s="114">
        <f t="shared" si="21"/>
        <v>895860.30108615768</v>
      </c>
      <c r="BB6" s="114">
        <f t="shared" si="21"/>
        <v>868984.4920535729</v>
      </c>
      <c r="BC6" s="114">
        <f t="shared" si="21"/>
        <v>842914.95729196572</v>
      </c>
      <c r="BD6" s="114">
        <f t="shared" si="21"/>
        <v>817627.50857320672</v>
      </c>
      <c r="BE6" s="114">
        <f t="shared" si="21"/>
        <v>793098.68331601052</v>
      </c>
      <c r="BF6" s="114">
        <f t="shared" si="21"/>
        <v>769305.72281653015</v>
      </c>
      <c r="BG6" s="114">
        <f t="shared" si="21"/>
        <v>746226.55113203428</v>
      </c>
      <c r="BH6" s="114">
        <f t="shared" si="21"/>
        <v>723839.7545980732</v>
      </c>
      <c r="BI6" s="114">
        <f t="shared" si="21"/>
        <v>702124.56196013093</v>
      </c>
      <c r="BJ6" s="114">
        <f t="shared" si="21"/>
        <v>681060.82510132703</v>
      </c>
      <c r="BK6" s="114">
        <f t="shared" si="21"/>
        <v>660629.00034828717</v>
      </c>
      <c r="BL6" s="114">
        <f t="shared" si="21"/>
        <v>640810.13033783855</v>
      </c>
      <c r="BM6" s="114">
        <f t="shared" si="21"/>
        <v>621585.82642770337</v>
      </c>
      <c r="BN6" s="114">
        <f t="shared" si="21"/>
        <v>602938.25163487229</v>
      </c>
      <c r="BO6" s="114">
        <f t="shared" si="21"/>
        <v>584850.10408582608</v>
      </c>
      <c r="BP6" s="51">
        <f t="shared" si="21"/>
        <v>567304.60096325132</v>
      </c>
    </row>
    <row r="7" spans="1:69" s="25" customFormat="1" x14ac:dyDescent="0.25">
      <c r="A7" s="23"/>
      <c r="B7" s="23"/>
      <c r="C7" s="115" t="s">
        <v>95</v>
      </c>
      <c r="D7" s="116">
        <f t="shared" ref="D7:Q7" si="22">D5-D6</f>
        <v>53894</v>
      </c>
      <c r="E7" s="117">
        <f t="shared" si="22"/>
        <v>59319</v>
      </c>
      <c r="F7" s="117">
        <f t="shared" si="22"/>
        <v>78650</v>
      </c>
      <c r="G7" s="117">
        <f t="shared" si="22"/>
        <v>79006</v>
      </c>
      <c r="H7" s="118">
        <f>SUM(IS!$D7:$G7)</f>
        <v>270869</v>
      </c>
      <c r="I7" s="118">
        <f t="shared" si="22"/>
        <v>113818</v>
      </c>
      <c r="J7" s="117">
        <f t="shared" si="22"/>
        <v>158994</v>
      </c>
      <c r="K7" s="119">
        <f t="shared" si="22"/>
        <v>194082</v>
      </c>
      <c r="L7" s="119">
        <f t="shared" si="22"/>
        <v>166245</v>
      </c>
      <c r="M7" s="120">
        <f>SUM(IS!$I7:$L7)</f>
        <v>633139</v>
      </c>
      <c r="N7" s="120">
        <f t="shared" si="22"/>
        <v>182207</v>
      </c>
      <c r="O7" s="119">
        <f t="shared" si="22"/>
        <v>209098</v>
      </c>
      <c r="P7" s="121">
        <f t="shared" si="22"/>
        <v>122229</v>
      </c>
      <c r="Q7" s="122">
        <f t="shared" si="22"/>
        <v>166673</v>
      </c>
      <c r="R7" s="123">
        <f>SUM(IS!$N7:$Q7)</f>
        <v>680207</v>
      </c>
      <c r="S7" s="124">
        <f t="shared" ref="S7" si="23">S5-S6</f>
        <v>191013.27499999999</v>
      </c>
      <c r="T7" s="86">
        <f t="shared" ref="T7:V7" si="24">T5-T6</f>
        <v>219665.26624999999</v>
      </c>
      <c r="U7" s="86">
        <f t="shared" si="24"/>
        <v>252615.05618749995</v>
      </c>
      <c r="V7" s="86">
        <f t="shared" si="24"/>
        <v>290507.3146156249</v>
      </c>
      <c r="W7" s="123">
        <f t="shared" si="20"/>
        <v>953800.91205312498</v>
      </c>
      <c r="X7" s="123">
        <f t="shared" ref="X7:AA7" si="25">X5-X6</f>
        <v>1096871.0488610936</v>
      </c>
      <c r="Y7" s="123">
        <f t="shared" si="25"/>
        <v>1261401.7061902576</v>
      </c>
      <c r="Z7" s="123">
        <f t="shared" si="25"/>
        <v>1450611.9621187961</v>
      </c>
      <c r="AA7" s="123">
        <f t="shared" si="25"/>
        <v>1668203.7564366153</v>
      </c>
      <c r="AB7" s="123">
        <f t="shared" ref="AB7:AC7" si="26">AB5-AB6</f>
        <v>1918434.3199021074</v>
      </c>
      <c r="AC7" s="123">
        <f t="shared" si="26"/>
        <v>1860881.290305044</v>
      </c>
      <c r="AD7" s="123">
        <f t="shared" ref="AD7:AX7" si="27">AD5-AD6</f>
        <v>1805054.8515958926</v>
      </c>
      <c r="AE7" s="123">
        <f t="shared" si="27"/>
        <v>1750903.2060480157</v>
      </c>
      <c r="AF7" s="123">
        <f t="shared" si="27"/>
        <v>1698376.1098665751</v>
      </c>
      <c r="AG7" s="123">
        <f t="shared" si="27"/>
        <v>1647424.8265705779</v>
      </c>
      <c r="AH7" s="123">
        <f t="shared" si="27"/>
        <v>1598002.0817734606</v>
      </c>
      <c r="AI7" s="123">
        <f t="shared" si="27"/>
        <v>1550062.0193202568</v>
      </c>
      <c r="AJ7" s="123">
        <f t="shared" si="27"/>
        <v>1503560.158740649</v>
      </c>
      <c r="AK7" s="123">
        <f t="shared" si="27"/>
        <v>1458453.3539784295</v>
      </c>
      <c r="AL7" s="123">
        <f t="shared" si="27"/>
        <v>1414699.7533590766</v>
      </c>
      <c r="AM7" s="123">
        <f t="shared" si="27"/>
        <v>1372258.7607583043</v>
      </c>
      <c r="AN7" s="123">
        <f t="shared" si="27"/>
        <v>1331090.9979355552</v>
      </c>
      <c r="AO7" s="123">
        <f t="shared" si="27"/>
        <v>1291158.2679974884</v>
      </c>
      <c r="AP7" s="123">
        <f t="shared" si="27"/>
        <v>1252423.5199575636</v>
      </c>
      <c r="AQ7" s="123">
        <f t="shared" si="27"/>
        <v>1214850.8143588367</v>
      </c>
      <c r="AR7" s="123">
        <f t="shared" si="27"/>
        <v>1178405.2899280717</v>
      </c>
      <c r="AS7" s="123">
        <f t="shared" si="27"/>
        <v>1143053.1312302295</v>
      </c>
      <c r="AT7" s="123">
        <f t="shared" si="27"/>
        <v>1108761.5372933226</v>
      </c>
      <c r="AU7" s="123">
        <f t="shared" si="27"/>
        <v>1075498.691174523</v>
      </c>
      <c r="AV7" s="123">
        <f t="shared" si="27"/>
        <v>1043233.7304392873</v>
      </c>
      <c r="AW7" s="123">
        <f t="shared" si="27"/>
        <v>1011936.7185261087</v>
      </c>
      <c r="AX7" s="123">
        <f t="shared" si="27"/>
        <v>981578.61697032535</v>
      </c>
      <c r="AY7" s="123">
        <f t="shared" ref="AY7:BP7" si="28">AY5-AY6</f>
        <v>952131.25846121553</v>
      </c>
      <c r="AZ7" s="123">
        <f t="shared" si="28"/>
        <v>923567.32070737903</v>
      </c>
      <c r="BA7" s="123">
        <f t="shared" si="28"/>
        <v>895860.30108615768</v>
      </c>
      <c r="BB7" s="123">
        <f t="shared" si="28"/>
        <v>868984.4920535729</v>
      </c>
      <c r="BC7" s="123">
        <f t="shared" si="28"/>
        <v>842914.95729196572</v>
      </c>
      <c r="BD7" s="123">
        <f t="shared" si="28"/>
        <v>817627.50857320672</v>
      </c>
      <c r="BE7" s="123">
        <f t="shared" si="28"/>
        <v>793098.68331601052</v>
      </c>
      <c r="BF7" s="123">
        <f t="shared" si="28"/>
        <v>769305.72281653015</v>
      </c>
      <c r="BG7" s="123">
        <f t="shared" si="28"/>
        <v>746226.55113203428</v>
      </c>
      <c r="BH7" s="123">
        <f t="shared" si="28"/>
        <v>723839.7545980732</v>
      </c>
      <c r="BI7" s="123">
        <f t="shared" si="28"/>
        <v>702124.56196013093</v>
      </c>
      <c r="BJ7" s="123">
        <f t="shared" si="28"/>
        <v>681060.82510132703</v>
      </c>
      <c r="BK7" s="123">
        <f t="shared" si="28"/>
        <v>660629.00034828717</v>
      </c>
      <c r="BL7" s="123">
        <f t="shared" si="28"/>
        <v>640810.13033783855</v>
      </c>
      <c r="BM7" s="123">
        <f t="shared" si="28"/>
        <v>621585.82642770337</v>
      </c>
      <c r="BN7" s="123">
        <f t="shared" si="28"/>
        <v>602938.25163487229</v>
      </c>
      <c r="BO7" s="123">
        <f t="shared" si="28"/>
        <v>584850.10408582608</v>
      </c>
      <c r="BP7" s="125">
        <f t="shared" si="28"/>
        <v>567304.60096325132</v>
      </c>
    </row>
    <row r="8" spans="1:69" s="25" customFormat="1" x14ac:dyDescent="0.25">
      <c r="A8"/>
      <c r="B8"/>
      <c r="C8" s="109" t="s">
        <v>96</v>
      </c>
      <c r="D8" s="110">
        <v>43778</v>
      </c>
      <c r="E8" s="31">
        <v>46889</v>
      </c>
      <c r="F8" s="31">
        <v>226249</v>
      </c>
      <c r="G8" s="31">
        <f>428670-SUM(D8:F8)</f>
        <v>111754</v>
      </c>
      <c r="H8" s="65">
        <f>SUM(IS!$D8:$G8)</f>
        <v>428670</v>
      </c>
      <c r="I8" s="65">
        <v>68905</v>
      </c>
      <c r="J8" s="31">
        <v>94181</v>
      </c>
      <c r="K8" s="32">
        <v>96385</v>
      </c>
      <c r="L8" s="32">
        <f>366773-SUM(I8:K8)</f>
        <v>107302</v>
      </c>
      <c r="M8" s="111">
        <f>SUM(IS!$I8:$L8)</f>
        <v>366773</v>
      </c>
      <c r="N8" s="111">
        <v>99017</v>
      </c>
      <c r="O8" s="32">
        <v>114850</v>
      </c>
      <c r="P8" s="112">
        <v>125443</v>
      </c>
      <c r="Q8" s="113">
        <v>185169</v>
      </c>
      <c r="R8" s="114">
        <f>SUM(IS!$N8:$Q8)</f>
        <v>524479</v>
      </c>
      <c r="S8" s="114">
        <f>S5*$Z$42</f>
        <v>114607.965</v>
      </c>
      <c r="T8" s="64">
        <f t="shared" ref="T8:BP8" si="29">T5*$Z$42</f>
        <v>131799.15974999999</v>
      </c>
      <c r="U8" s="64">
        <f t="shared" si="29"/>
        <v>151569.03371249998</v>
      </c>
      <c r="V8" s="64">
        <f t="shared" si="29"/>
        <v>174304.38876937493</v>
      </c>
      <c r="W8" s="114">
        <f t="shared" si="29"/>
        <v>572280.54723187501</v>
      </c>
      <c r="X8" s="114">
        <f t="shared" si="29"/>
        <v>658122.62931665615</v>
      </c>
      <c r="Y8" s="114">
        <f t="shared" si="29"/>
        <v>756841.02371415449</v>
      </c>
      <c r="Z8" s="114">
        <f t="shared" si="29"/>
        <v>870367.17727127764</v>
      </c>
      <c r="AA8" s="114">
        <f t="shared" si="29"/>
        <v>1000922.2538619691</v>
      </c>
      <c r="AB8" s="114">
        <f t="shared" si="29"/>
        <v>1151060.5919412645</v>
      </c>
      <c r="AC8" s="114">
        <f t="shared" si="29"/>
        <v>1116528.7741830263</v>
      </c>
      <c r="AD8" s="114">
        <f t="shared" si="29"/>
        <v>1083032.9109575355</v>
      </c>
      <c r="AE8" s="114">
        <f t="shared" si="29"/>
        <v>1050541.9236288094</v>
      </c>
      <c r="AF8" s="114">
        <f t="shared" si="29"/>
        <v>1019025.665919945</v>
      </c>
      <c r="AG8" s="114">
        <f t="shared" si="29"/>
        <v>988454.89594234666</v>
      </c>
      <c r="AH8" s="114">
        <f t="shared" si="29"/>
        <v>958801.24906407634</v>
      </c>
      <c r="AI8" s="114">
        <f t="shared" si="29"/>
        <v>930037.211592154</v>
      </c>
      <c r="AJ8" s="114">
        <f t="shared" si="29"/>
        <v>902136.09524438938</v>
      </c>
      <c r="AK8" s="114">
        <f t="shared" si="29"/>
        <v>875072.01238705765</v>
      </c>
      <c r="AL8" s="114">
        <f t="shared" si="29"/>
        <v>848819.85201544594</v>
      </c>
      <c r="AM8" s="114">
        <f t="shared" si="29"/>
        <v>823355.25645498256</v>
      </c>
      <c r="AN8" s="114">
        <f t="shared" si="29"/>
        <v>798654.59876133304</v>
      </c>
      <c r="AO8" s="114">
        <f t="shared" si="29"/>
        <v>774694.960798493</v>
      </c>
      <c r="AP8" s="114">
        <f t="shared" si="29"/>
        <v>751454.11197453819</v>
      </c>
      <c r="AQ8" s="114">
        <f t="shared" si="29"/>
        <v>728910.48861530202</v>
      </c>
      <c r="AR8" s="114">
        <f t="shared" si="29"/>
        <v>707043.17395684298</v>
      </c>
      <c r="AS8" s="114">
        <f t="shared" si="29"/>
        <v>685831.87873813766</v>
      </c>
      <c r="AT8" s="114">
        <f t="shared" si="29"/>
        <v>665256.92237599357</v>
      </c>
      <c r="AU8" s="114">
        <f t="shared" si="29"/>
        <v>645299.21470471378</v>
      </c>
      <c r="AV8" s="114">
        <f t="shared" si="29"/>
        <v>625940.23826357233</v>
      </c>
      <c r="AW8" s="114">
        <f t="shared" si="29"/>
        <v>607162.03111566522</v>
      </c>
      <c r="AX8" s="114">
        <f t="shared" si="29"/>
        <v>588947.17018219514</v>
      </c>
      <c r="AY8" s="114">
        <f t="shared" si="29"/>
        <v>571278.75507672934</v>
      </c>
      <c r="AZ8" s="114">
        <f t="shared" si="29"/>
        <v>554140.39242442744</v>
      </c>
      <c r="BA8" s="114">
        <f t="shared" si="29"/>
        <v>537516.18065169454</v>
      </c>
      <c r="BB8" s="114">
        <f t="shared" si="29"/>
        <v>521390.69523214374</v>
      </c>
      <c r="BC8" s="114">
        <f t="shared" si="29"/>
        <v>505748.97437517939</v>
      </c>
      <c r="BD8" s="114">
        <f t="shared" si="29"/>
        <v>490576.50514392403</v>
      </c>
      <c r="BE8" s="114">
        <f t="shared" si="29"/>
        <v>475859.20998960629</v>
      </c>
      <c r="BF8" s="114">
        <f t="shared" si="29"/>
        <v>461583.43368991808</v>
      </c>
      <c r="BG8" s="114">
        <f t="shared" si="29"/>
        <v>447735.93067922053</v>
      </c>
      <c r="BH8" s="114">
        <f t="shared" si="29"/>
        <v>434303.85275884392</v>
      </c>
      <c r="BI8" s="114">
        <f t="shared" si="29"/>
        <v>421274.73717607855</v>
      </c>
      <c r="BJ8" s="114">
        <f t="shared" si="29"/>
        <v>408636.49506079621</v>
      </c>
      <c r="BK8" s="114">
        <f t="shared" si="29"/>
        <v>396377.40020897228</v>
      </c>
      <c r="BL8" s="114">
        <f t="shared" si="29"/>
        <v>384486.07820270309</v>
      </c>
      <c r="BM8" s="114">
        <f t="shared" si="29"/>
        <v>372951.495856622</v>
      </c>
      <c r="BN8" s="114">
        <f t="shared" si="29"/>
        <v>361762.95098092337</v>
      </c>
      <c r="BO8" s="114">
        <f t="shared" si="29"/>
        <v>350910.06245149561</v>
      </c>
      <c r="BP8" s="114">
        <f t="shared" si="29"/>
        <v>340382.7605779508</v>
      </c>
    </row>
    <row r="9" spans="1:69" s="25" customFormat="1" x14ac:dyDescent="0.25">
      <c r="A9" s="23"/>
      <c r="B9" s="23"/>
      <c r="C9" s="115" t="s">
        <v>97</v>
      </c>
      <c r="D9" s="116">
        <f t="shared" ref="D9:Q9" si="30">D7-D8</f>
        <v>10116</v>
      </c>
      <c r="E9" s="117">
        <f t="shared" si="30"/>
        <v>12430</v>
      </c>
      <c r="F9" s="117">
        <f t="shared" si="30"/>
        <v>-147599</v>
      </c>
      <c r="G9" s="117">
        <f t="shared" si="30"/>
        <v>-32748</v>
      </c>
      <c r="H9" s="118">
        <f>SUM(IS!$D9:$G9)</f>
        <v>-157801</v>
      </c>
      <c r="I9" s="118">
        <f t="shared" si="30"/>
        <v>44913</v>
      </c>
      <c r="J9" s="117">
        <f t="shared" si="30"/>
        <v>64813</v>
      </c>
      <c r="K9" s="119">
        <f t="shared" si="30"/>
        <v>97697</v>
      </c>
      <c r="L9" s="119">
        <f t="shared" si="30"/>
        <v>58943</v>
      </c>
      <c r="M9" s="120">
        <f>SUM(IS!$I9:$L9)</f>
        <v>266366</v>
      </c>
      <c r="N9" s="120">
        <f t="shared" si="30"/>
        <v>83190</v>
      </c>
      <c r="O9" s="119">
        <f t="shared" si="30"/>
        <v>94248</v>
      </c>
      <c r="P9" s="121">
        <f t="shared" si="30"/>
        <v>-3214</v>
      </c>
      <c r="Q9" s="122">
        <f t="shared" si="30"/>
        <v>-18496</v>
      </c>
      <c r="R9" s="123">
        <f>SUM(IS!$N9:$Q9)</f>
        <v>155728</v>
      </c>
      <c r="S9" s="124">
        <f t="shared" ref="S9" si="31">S7-S8</f>
        <v>76405.31</v>
      </c>
      <c r="T9" s="86">
        <f t="shared" ref="T9:V9" si="32">T7-T8</f>
        <v>87866.106499999994</v>
      </c>
      <c r="U9" s="86">
        <f t="shared" si="32"/>
        <v>101046.02247499998</v>
      </c>
      <c r="V9" s="86">
        <f t="shared" si="32"/>
        <v>116202.92584624997</v>
      </c>
      <c r="W9" s="123">
        <f t="shared" si="20"/>
        <v>381520.36482124991</v>
      </c>
      <c r="X9" s="123">
        <f t="shared" ref="X9:AA9" si="33">X7-X8</f>
        <v>438748.41954443743</v>
      </c>
      <c r="Y9" s="123">
        <f t="shared" si="33"/>
        <v>504560.68247610307</v>
      </c>
      <c r="Z9" s="123">
        <f t="shared" si="33"/>
        <v>580244.78484751843</v>
      </c>
      <c r="AA9" s="123">
        <f t="shared" si="33"/>
        <v>667281.50257464615</v>
      </c>
      <c r="AB9" s="123">
        <f t="shared" ref="AB9:AC9" si="34">AB7-AB8</f>
        <v>767373.72796084289</v>
      </c>
      <c r="AC9" s="123">
        <f t="shared" si="34"/>
        <v>744352.51612201775</v>
      </c>
      <c r="AD9" s="123">
        <f t="shared" ref="AD9:AX9" si="35">AD7-AD8</f>
        <v>722021.94063835707</v>
      </c>
      <c r="AE9" s="123">
        <f t="shared" si="35"/>
        <v>700361.28241920634</v>
      </c>
      <c r="AF9" s="123">
        <f t="shared" si="35"/>
        <v>679350.44394663011</v>
      </c>
      <c r="AG9" s="123">
        <f t="shared" si="35"/>
        <v>658969.93062823126</v>
      </c>
      <c r="AH9" s="123">
        <f t="shared" si="35"/>
        <v>639200.83270938427</v>
      </c>
      <c r="AI9" s="123">
        <f t="shared" si="35"/>
        <v>620024.80772810278</v>
      </c>
      <c r="AJ9" s="123">
        <f t="shared" si="35"/>
        <v>601424.06349625962</v>
      </c>
      <c r="AK9" s="123">
        <f t="shared" si="35"/>
        <v>583381.34159137181</v>
      </c>
      <c r="AL9" s="123">
        <f t="shared" si="35"/>
        <v>565879.90134363063</v>
      </c>
      <c r="AM9" s="123">
        <f t="shared" si="35"/>
        <v>548903.50430332171</v>
      </c>
      <c r="AN9" s="123">
        <f t="shared" si="35"/>
        <v>532436.39917422214</v>
      </c>
      <c r="AO9" s="123">
        <f t="shared" si="35"/>
        <v>516463.30719899538</v>
      </c>
      <c r="AP9" s="123">
        <f t="shared" si="35"/>
        <v>500969.40798302542</v>
      </c>
      <c r="AQ9" s="123">
        <f t="shared" si="35"/>
        <v>485940.32574353472</v>
      </c>
      <c r="AR9" s="123">
        <f t="shared" si="35"/>
        <v>471362.11597122869</v>
      </c>
      <c r="AS9" s="123">
        <f t="shared" si="35"/>
        <v>457221.25249209185</v>
      </c>
      <c r="AT9" s="123">
        <f t="shared" si="35"/>
        <v>443504.61491732905</v>
      </c>
      <c r="AU9" s="123">
        <f t="shared" si="35"/>
        <v>430199.47646980919</v>
      </c>
      <c r="AV9" s="123">
        <f t="shared" si="35"/>
        <v>417293.49217571493</v>
      </c>
      <c r="AW9" s="123">
        <f t="shared" si="35"/>
        <v>404774.68741044344</v>
      </c>
      <c r="AX9" s="123">
        <f t="shared" si="35"/>
        <v>392631.44678813021</v>
      </c>
      <c r="AY9" s="123">
        <f t="shared" ref="AY9:BP9" si="36">AY7-AY8</f>
        <v>380852.50338448619</v>
      </c>
      <c r="AZ9" s="123">
        <f t="shared" si="36"/>
        <v>369426.92828295159</v>
      </c>
      <c r="BA9" s="123">
        <f t="shared" si="36"/>
        <v>358344.12043446314</v>
      </c>
      <c r="BB9" s="123">
        <f t="shared" si="36"/>
        <v>347593.79682142916</v>
      </c>
      <c r="BC9" s="123">
        <f t="shared" si="36"/>
        <v>337165.98291678634</v>
      </c>
      <c r="BD9" s="123">
        <f t="shared" si="36"/>
        <v>327051.00342928269</v>
      </c>
      <c r="BE9" s="123">
        <f t="shared" si="36"/>
        <v>317239.47332640423</v>
      </c>
      <c r="BF9" s="123">
        <f t="shared" si="36"/>
        <v>307722.28912661207</v>
      </c>
      <c r="BG9" s="123">
        <f t="shared" si="36"/>
        <v>298490.62045281375</v>
      </c>
      <c r="BH9" s="123">
        <f t="shared" si="36"/>
        <v>289535.90183922928</v>
      </c>
      <c r="BI9" s="123">
        <f t="shared" si="36"/>
        <v>280849.82478405238</v>
      </c>
      <c r="BJ9" s="123">
        <f t="shared" si="36"/>
        <v>272424.33004053083</v>
      </c>
      <c r="BK9" s="123">
        <f t="shared" si="36"/>
        <v>264251.60013931489</v>
      </c>
      <c r="BL9" s="123">
        <f t="shared" si="36"/>
        <v>256324.05213513545</v>
      </c>
      <c r="BM9" s="123">
        <f t="shared" si="36"/>
        <v>248634.33057108137</v>
      </c>
      <c r="BN9" s="123">
        <f t="shared" si="36"/>
        <v>241175.30065394891</v>
      </c>
      <c r="BO9" s="123">
        <f t="shared" si="36"/>
        <v>233940.04163433047</v>
      </c>
      <c r="BP9" s="125">
        <f t="shared" si="36"/>
        <v>226921.84038530051</v>
      </c>
    </row>
    <row r="10" spans="1:69" s="25" customFormat="1" x14ac:dyDescent="0.25">
      <c r="A10"/>
      <c r="B10"/>
      <c r="C10" s="109" t="s">
        <v>98</v>
      </c>
      <c r="D10" s="110">
        <v>78</v>
      </c>
      <c r="E10" s="31">
        <v>55</v>
      </c>
      <c r="F10" s="31">
        <v>53</v>
      </c>
      <c r="G10" s="31">
        <f>237-SUM(D10:F10)</f>
        <v>51</v>
      </c>
      <c r="H10" s="65">
        <f>SUM(IS!$D10:$G10)</f>
        <v>237</v>
      </c>
      <c r="I10" s="65">
        <v>45</v>
      </c>
      <c r="J10" s="31">
        <v>28</v>
      </c>
      <c r="K10" s="32">
        <v>28</v>
      </c>
      <c r="L10" s="32">
        <f>128-SUM(I10:K10)</f>
        <v>27</v>
      </c>
      <c r="M10" s="111">
        <f>SUM(IS!$I10:$L10)</f>
        <v>128</v>
      </c>
      <c r="N10" s="111">
        <v>28</v>
      </c>
      <c r="O10" s="32">
        <v>0</v>
      </c>
      <c r="P10" s="112">
        <v>0</v>
      </c>
      <c r="Q10" s="113">
        <v>-28</v>
      </c>
      <c r="R10" s="114">
        <f>SUM(IS!$N10:$Q10)</f>
        <v>0</v>
      </c>
      <c r="S10" s="114">
        <v>0</v>
      </c>
      <c r="T10" s="34">
        <v>0</v>
      </c>
      <c r="U10" s="34">
        <v>0</v>
      </c>
      <c r="V10" s="34">
        <v>0</v>
      </c>
      <c r="W10" s="114">
        <f t="shared" si="20"/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1</v>
      </c>
      <c r="AD10" s="114">
        <v>1</v>
      </c>
      <c r="AE10" s="114">
        <v>1</v>
      </c>
      <c r="AF10" s="114">
        <v>1</v>
      </c>
      <c r="AG10" s="114">
        <v>1</v>
      </c>
      <c r="AH10" s="114">
        <v>1</v>
      </c>
      <c r="AI10" s="114">
        <v>1</v>
      </c>
      <c r="AJ10" s="114">
        <v>1</v>
      </c>
      <c r="AK10" s="114">
        <v>1</v>
      </c>
      <c r="AL10" s="114">
        <v>1</v>
      </c>
      <c r="AM10" s="114">
        <v>1</v>
      </c>
      <c r="AN10" s="114">
        <v>1</v>
      </c>
      <c r="AO10" s="114">
        <v>1</v>
      </c>
      <c r="AP10" s="114">
        <v>1</v>
      </c>
      <c r="AQ10" s="114">
        <v>1</v>
      </c>
      <c r="AR10" s="114">
        <v>1</v>
      </c>
      <c r="AS10" s="114">
        <v>1</v>
      </c>
      <c r="AT10" s="114">
        <v>1</v>
      </c>
      <c r="AU10" s="114">
        <v>1</v>
      </c>
      <c r="AV10" s="114">
        <v>1</v>
      </c>
      <c r="AW10" s="114">
        <v>1</v>
      </c>
      <c r="AX10" s="114">
        <v>1</v>
      </c>
      <c r="AY10" s="114">
        <v>1</v>
      </c>
      <c r="AZ10" s="114">
        <v>1</v>
      </c>
      <c r="BA10" s="114">
        <v>1</v>
      </c>
      <c r="BB10" s="114">
        <v>1</v>
      </c>
      <c r="BC10" s="114">
        <v>1</v>
      </c>
      <c r="BD10" s="114">
        <v>1</v>
      </c>
      <c r="BE10" s="114">
        <v>1</v>
      </c>
      <c r="BF10" s="114">
        <v>1</v>
      </c>
      <c r="BG10" s="114">
        <v>1</v>
      </c>
      <c r="BH10" s="114">
        <v>1</v>
      </c>
      <c r="BI10" s="114">
        <v>1</v>
      </c>
      <c r="BJ10" s="114">
        <v>1</v>
      </c>
      <c r="BK10" s="114">
        <v>1</v>
      </c>
      <c r="BL10" s="114">
        <v>1</v>
      </c>
      <c r="BM10" s="114">
        <v>1</v>
      </c>
      <c r="BN10" s="114">
        <v>1</v>
      </c>
      <c r="BO10" s="114">
        <v>1</v>
      </c>
      <c r="BP10" s="51">
        <v>1</v>
      </c>
    </row>
    <row r="11" spans="1:69" s="25" customFormat="1" x14ac:dyDescent="0.25">
      <c r="A11"/>
      <c r="B11"/>
      <c r="C11" s="126" t="s">
        <v>99</v>
      </c>
      <c r="D11" s="127">
        <v>-2</v>
      </c>
      <c r="E11" s="128">
        <v>-3</v>
      </c>
      <c r="F11" s="128">
        <v>1396</v>
      </c>
      <c r="G11" s="129">
        <f>5292-SUM(D11:F11)</f>
        <v>3901</v>
      </c>
      <c r="H11" s="130">
        <f>SUM(IS!$D11:$G11)</f>
        <v>5292</v>
      </c>
      <c r="I11" s="131">
        <v>4924</v>
      </c>
      <c r="J11" s="128">
        <v>5545</v>
      </c>
      <c r="K11" s="129">
        <v>7197</v>
      </c>
      <c r="L11" s="129">
        <f>26501-SUM(I11:K11)</f>
        <v>8835</v>
      </c>
      <c r="M11" s="130">
        <f>SUM(IS!$I11:$L11)</f>
        <v>26501</v>
      </c>
      <c r="N11" s="130">
        <v>9612</v>
      </c>
      <c r="O11" s="129">
        <v>10647</v>
      </c>
      <c r="P11" s="132">
        <v>11112</v>
      </c>
      <c r="Q11" s="133">
        <f>7892+1793</f>
        <v>9685</v>
      </c>
      <c r="R11" s="124">
        <f>SUM(IS!$N11:$Q11)</f>
        <v>41056</v>
      </c>
      <c r="S11" s="124">
        <f>IS!$Z41</f>
        <v>8000</v>
      </c>
      <c r="T11" s="177">
        <f>IS!$Z41</f>
        <v>8000</v>
      </c>
      <c r="U11" s="177">
        <f>IS!$Z41</f>
        <v>8000</v>
      </c>
      <c r="V11" s="177">
        <f>IS!$Z41</f>
        <v>8000</v>
      </c>
      <c r="W11" s="124">
        <f>IS!$Z41</f>
        <v>8000</v>
      </c>
      <c r="X11" s="124">
        <f>IS!$Z41</f>
        <v>8000</v>
      </c>
      <c r="Y11" s="124">
        <f>IS!$Z41</f>
        <v>8000</v>
      </c>
      <c r="Z11" s="124">
        <f>IS!$Z41</f>
        <v>8000</v>
      </c>
      <c r="AA11" s="124">
        <f>IS!$Z41</f>
        <v>8000</v>
      </c>
      <c r="AB11" s="124">
        <f>IS!$Z41</f>
        <v>8000</v>
      </c>
      <c r="AC11" s="124">
        <f>IS!$Z41</f>
        <v>8000</v>
      </c>
      <c r="AD11" s="124">
        <f>IS!$Z41</f>
        <v>8000</v>
      </c>
      <c r="AE11" s="124">
        <f>IS!$Z41</f>
        <v>8000</v>
      </c>
      <c r="AF11" s="124">
        <f>IS!$Z41</f>
        <v>8000</v>
      </c>
      <c r="AG11" s="124">
        <f>IS!$Z41</f>
        <v>8000</v>
      </c>
      <c r="AH11" s="124">
        <f>IS!$Z41</f>
        <v>8000</v>
      </c>
      <c r="AI11" s="124">
        <f>IS!$Z41</f>
        <v>8000</v>
      </c>
      <c r="AJ11" s="124">
        <f>IS!$Z41</f>
        <v>8000</v>
      </c>
      <c r="AK11" s="124">
        <f>IS!$Z41</f>
        <v>8000</v>
      </c>
      <c r="AL11" s="124">
        <f>IS!$Z41</f>
        <v>8000</v>
      </c>
      <c r="AM11" s="124">
        <f>IS!$Z41</f>
        <v>8000</v>
      </c>
      <c r="AN11" s="124">
        <f>IS!$Z41</f>
        <v>8000</v>
      </c>
      <c r="AO11" s="124">
        <f>IS!$Z41</f>
        <v>8000</v>
      </c>
      <c r="AP11" s="124">
        <f>IS!$Z41</f>
        <v>8000</v>
      </c>
      <c r="AQ11" s="124">
        <f>IS!$Z41</f>
        <v>8000</v>
      </c>
      <c r="AR11" s="124">
        <f>IS!$Z41</f>
        <v>8000</v>
      </c>
      <c r="AS11" s="124">
        <f>IS!$Z41</f>
        <v>8000</v>
      </c>
      <c r="AT11" s="124">
        <f>IS!$Z41</f>
        <v>8000</v>
      </c>
      <c r="AU11" s="124">
        <f>IS!$Z41</f>
        <v>8000</v>
      </c>
      <c r="AV11" s="124">
        <f>IS!$Z41</f>
        <v>8000</v>
      </c>
      <c r="AW11" s="124">
        <f>IS!$Z41</f>
        <v>8000</v>
      </c>
      <c r="AX11" s="124">
        <f>IS!$Z41</f>
        <v>8000</v>
      </c>
      <c r="AY11" s="124">
        <f>IS!$Z41</f>
        <v>8000</v>
      </c>
      <c r="AZ11" s="124">
        <f>IS!$Z41</f>
        <v>8000</v>
      </c>
      <c r="BA11" s="124">
        <f>IS!$Z41</f>
        <v>8000</v>
      </c>
      <c r="BB11" s="124">
        <f>IS!$Z41</f>
        <v>8000</v>
      </c>
      <c r="BC11" s="124">
        <f>IS!$Z41</f>
        <v>8000</v>
      </c>
      <c r="BD11" s="124">
        <f>IS!$Z41</f>
        <v>8000</v>
      </c>
      <c r="BE11" s="124">
        <f>IS!$Z41</f>
        <v>8000</v>
      </c>
      <c r="BF11" s="124">
        <f>IS!$Z41</f>
        <v>8000</v>
      </c>
      <c r="BG11" s="124">
        <f>IS!$Z41</f>
        <v>8000</v>
      </c>
      <c r="BH11" s="124">
        <f>IS!$Z41</f>
        <v>8000</v>
      </c>
      <c r="BI11" s="124">
        <f>IS!$Z41</f>
        <v>8000</v>
      </c>
      <c r="BJ11" s="124">
        <f>IS!$Z41</f>
        <v>8000</v>
      </c>
      <c r="BK11" s="124">
        <f>IS!$Z41</f>
        <v>8000</v>
      </c>
      <c r="BL11" s="124">
        <f>IS!$Z41</f>
        <v>8000</v>
      </c>
      <c r="BM11" s="124">
        <f>IS!$Z41</f>
        <v>8000</v>
      </c>
      <c r="BN11" s="124">
        <f>IS!$Z41</f>
        <v>8000</v>
      </c>
      <c r="BO11" s="124">
        <f>IS!$Z41</f>
        <v>8000</v>
      </c>
      <c r="BP11" s="124">
        <f>IS!$Z41</f>
        <v>8000</v>
      </c>
    </row>
    <row r="12" spans="1:69" s="25" customFormat="1" x14ac:dyDescent="0.25">
      <c r="A12"/>
      <c r="B12"/>
      <c r="C12" s="109" t="s">
        <v>100</v>
      </c>
      <c r="D12" s="110">
        <v>-162</v>
      </c>
      <c r="E12" s="31">
        <v>-514</v>
      </c>
      <c r="F12" s="31">
        <v>-254</v>
      </c>
      <c r="G12" s="32">
        <f>-392-SUM(D12:F12)</f>
        <v>538</v>
      </c>
      <c r="H12" s="111">
        <f>SUM(IS!$D12:$G12)</f>
        <v>-392</v>
      </c>
      <c r="I12" s="65">
        <v>-118</v>
      </c>
      <c r="J12" s="31">
        <v>-931</v>
      </c>
      <c r="K12" s="32">
        <v>-177</v>
      </c>
      <c r="L12" s="32">
        <f>-1246-SUM(I12:K12)</f>
        <v>-20</v>
      </c>
      <c r="M12" s="111">
        <f>SUM(IS!$I12:$L12)</f>
        <v>-1246</v>
      </c>
      <c r="N12" s="111">
        <v>-369</v>
      </c>
      <c r="O12" s="32">
        <v>-264</v>
      </c>
      <c r="P12" s="112">
        <v>277</v>
      </c>
      <c r="Q12" s="113">
        <v>-1378</v>
      </c>
      <c r="R12" s="114">
        <f>SUM(IS!$N12:$Q12)</f>
        <v>-1734</v>
      </c>
      <c r="S12" s="114">
        <v>0</v>
      </c>
      <c r="T12" s="34">
        <v>0</v>
      </c>
      <c r="U12" s="34">
        <v>0</v>
      </c>
      <c r="V12" s="34">
        <v>0</v>
      </c>
      <c r="W12" s="114">
        <f t="shared" si="20"/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1</v>
      </c>
      <c r="AD12" s="114">
        <v>1</v>
      </c>
      <c r="AE12" s="114">
        <v>1</v>
      </c>
      <c r="AF12" s="114">
        <v>1</v>
      </c>
      <c r="AG12" s="114">
        <v>1</v>
      </c>
      <c r="AH12" s="114">
        <v>1</v>
      </c>
      <c r="AI12" s="114">
        <v>1</v>
      </c>
      <c r="AJ12" s="114">
        <v>1</v>
      </c>
      <c r="AK12" s="114">
        <v>1</v>
      </c>
      <c r="AL12" s="114">
        <v>1</v>
      </c>
      <c r="AM12" s="114">
        <v>1</v>
      </c>
      <c r="AN12" s="114">
        <v>1</v>
      </c>
      <c r="AO12" s="114">
        <v>1</v>
      </c>
      <c r="AP12" s="114">
        <v>1</v>
      </c>
      <c r="AQ12" s="114">
        <v>1</v>
      </c>
      <c r="AR12" s="114">
        <v>1</v>
      </c>
      <c r="AS12" s="114">
        <v>1</v>
      </c>
      <c r="AT12" s="114">
        <v>1</v>
      </c>
      <c r="AU12" s="114">
        <v>1</v>
      </c>
      <c r="AV12" s="114">
        <v>1</v>
      </c>
      <c r="AW12" s="114">
        <v>1</v>
      </c>
      <c r="AX12" s="114">
        <v>1</v>
      </c>
      <c r="AY12" s="114">
        <v>1</v>
      </c>
      <c r="AZ12" s="114">
        <v>1</v>
      </c>
      <c r="BA12" s="114">
        <v>1</v>
      </c>
      <c r="BB12" s="114">
        <v>1</v>
      </c>
      <c r="BC12" s="114">
        <v>1</v>
      </c>
      <c r="BD12" s="114">
        <v>1</v>
      </c>
      <c r="BE12" s="114">
        <v>1</v>
      </c>
      <c r="BF12" s="114">
        <v>1</v>
      </c>
      <c r="BG12" s="114">
        <v>1</v>
      </c>
      <c r="BH12" s="114">
        <v>1</v>
      </c>
      <c r="BI12" s="114">
        <v>1</v>
      </c>
      <c r="BJ12" s="114">
        <v>1</v>
      </c>
      <c r="BK12" s="114">
        <v>1</v>
      </c>
      <c r="BL12" s="114">
        <v>1</v>
      </c>
      <c r="BM12" s="114">
        <v>1</v>
      </c>
      <c r="BN12" s="114">
        <v>1</v>
      </c>
      <c r="BO12" s="114">
        <v>1</v>
      </c>
      <c r="BP12" s="51">
        <v>1</v>
      </c>
    </row>
    <row r="13" spans="1:69" s="25" customFormat="1" x14ac:dyDescent="0.25">
      <c r="A13"/>
      <c r="B13"/>
      <c r="C13" s="126" t="s">
        <v>101</v>
      </c>
      <c r="D13" s="127">
        <f t="shared" ref="D13:P13" si="37">SUM(D10:D12)</f>
        <v>-86</v>
      </c>
      <c r="E13" s="128">
        <f t="shared" si="37"/>
        <v>-462</v>
      </c>
      <c r="F13" s="128">
        <f t="shared" si="37"/>
        <v>1195</v>
      </c>
      <c r="G13" s="129">
        <f t="shared" si="37"/>
        <v>4490</v>
      </c>
      <c r="H13" s="130">
        <f>SUM(IS!$D13:$G13)</f>
        <v>5137</v>
      </c>
      <c r="I13" s="131">
        <f t="shared" si="37"/>
        <v>4851</v>
      </c>
      <c r="J13" s="128">
        <f t="shared" si="37"/>
        <v>4642</v>
      </c>
      <c r="K13" s="129">
        <f t="shared" si="37"/>
        <v>7048</v>
      </c>
      <c r="L13" s="129">
        <f t="shared" si="37"/>
        <v>8842</v>
      </c>
      <c r="M13" s="130">
        <f>SUM(IS!$I13:$L13)</f>
        <v>25383</v>
      </c>
      <c r="N13" s="130">
        <f t="shared" si="37"/>
        <v>9271</v>
      </c>
      <c r="O13" s="129">
        <f t="shared" si="37"/>
        <v>10383</v>
      </c>
      <c r="P13" s="132">
        <f t="shared" si="37"/>
        <v>11389</v>
      </c>
      <c r="Q13" s="135">
        <f>SUM(Q10:Q12)</f>
        <v>8279</v>
      </c>
      <c r="R13" s="124">
        <f>SUM(IS!$N13:$Q13)</f>
        <v>39322</v>
      </c>
      <c r="S13" s="124">
        <f t="shared" ref="S13" si="38">SUM(S10:S12)</f>
        <v>8000</v>
      </c>
      <c r="T13" s="86">
        <f t="shared" ref="T13:V13" si="39">SUM(T10:T12)</f>
        <v>8000</v>
      </c>
      <c r="U13" s="86">
        <f t="shared" si="39"/>
        <v>8000</v>
      </c>
      <c r="V13" s="86">
        <f t="shared" si="39"/>
        <v>8000</v>
      </c>
      <c r="W13" s="124">
        <f t="shared" si="20"/>
        <v>32000</v>
      </c>
      <c r="X13" s="124">
        <f t="shared" ref="X13:AA13" si="40">SUM(X10:X12)</f>
        <v>8000</v>
      </c>
      <c r="Y13" s="124">
        <f t="shared" si="40"/>
        <v>8000</v>
      </c>
      <c r="Z13" s="124">
        <f t="shared" si="40"/>
        <v>8000</v>
      </c>
      <c r="AA13" s="124">
        <f t="shared" si="40"/>
        <v>8000</v>
      </c>
      <c r="AB13" s="124">
        <f t="shared" ref="AB13:AC13" si="41">SUM(AB10:AB12)</f>
        <v>8000</v>
      </c>
      <c r="AC13" s="124">
        <f t="shared" si="41"/>
        <v>8002</v>
      </c>
      <c r="AD13" s="124">
        <f t="shared" ref="AD13:AX13" si="42">SUM(AD10:AD12)</f>
        <v>8002</v>
      </c>
      <c r="AE13" s="124">
        <f t="shared" si="42"/>
        <v>8002</v>
      </c>
      <c r="AF13" s="124">
        <f t="shared" si="42"/>
        <v>8002</v>
      </c>
      <c r="AG13" s="124">
        <f t="shared" si="42"/>
        <v>8002</v>
      </c>
      <c r="AH13" s="124">
        <f t="shared" si="42"/>
        <v>8002</v>
      </c>
      <c r="AI13" s="124">
        <f t="shared" si="42"/>
        <v>8002</v>
      </c>
      <c r="AJ13" s="124">
        <f t="shared" si="42"/>
        <v>8002</v>
      </c>
      <c r="AK13" s="124">
        <f t="shared" si="42"/>
        <v>8002</v>
      </c>
      <c r="AL13" s="124">
        <f t="shared" si="42"/>
        <v>8002</v>
      </c>
      <c r="AM13" s="124">
        <f t="shared" si="42"/>
        <v>8002</v>
      </c>
      <c r="AN13" s="124">
        <f t="shared" si="42"/>
        <v>8002</v>
      </c>
      <c r="AO13" s="124">
        <f t="shared" si="42"/>
        <v>8002</v>
      </c>
      <c r="AP13" s="124">
        <f t="shared" si="42"/>
        <v>8002</v>
      </c>
      <c r="AQ13" s="124">
        <f t="shared" si="42"/>
        <v>8002</v>
      </c>
      <c r="AR13" s="124">
        <f t="shared" si="42"/>
        <v>8002</v>
      </c>
      <c r="AS13" s="124">
        <f t="shared" si="42"/>
        <v>8002</v>
      </c>
      <c r="AT13" s="124">
        <f t="shared" si="42"/>
        <v>8002</v>
      </c>
      <c r="AU13" s="124">
        <f t="shared" si="42"/>
        <v>8002</v>
      </c>
      <c r="AV13" s="124">
        <f t="shared" si="42"/>
        <v>8002</v>
      </c>
      <c r="AW13" s="124">
        <f t="shared" si="42"/>
        <v>8002</v>
      </c>
      <c r="AX13" s="124">
        <f t="shared" si="42"/>
        <v>8002</v>
      </c>
      <c r="AY13" s="124">
        <f t="shared" ref="AY13:BP13" si="43">SUM(AY10:AY12)</f>
        <v>8002</v>
      </c>
      <c r="AZ13" s="124">
        <f t="shared" si="43"/>
        <v>8002</v>
      </c>
      <c r="BA13" s="124">
        <f t="shared" si="43"/>
        <v>8002</v>
      </c>
      <c r="BB13" s="124">
        <f t="shared" si="43"/>
        <v>8002</v>
      </c>
      <c r="BC13" s="124">
        <f t="shared" si="43"/>
        <v>8002</v>
      </c>
      <c r="BD13" s="124">
        <f t="shared" si="43"/>
        <v>8002</v>
      </c>
      <c r="BE13" s="124">
        <f t="shared" si="43"/>
        <v>8002</v>
      </c>
      <c r="BF13" s="124">
        <f t="shared" si="43"/>
        <v>8002</v>
      </c>
      <c r="BG13" s="124">
        <f t="shared" si="43"/>
        <v>8002</v>
      </c>
      <c r="BH13" s="124">
        <f t="shared" si="43"/>
        <v>8002</v>
      </c>
      <c r="BI13" s="124">
        <f t="shared" si="43"/>
        <v>8002</v>
      </c>
      <c r="BJ13" s="124">
        <f t="shared" si="43"/>
        <v>8002</v>
      </c>
      <c r="BK13" s="124">
        <f t="shared" si="43"/>
        <v>8002</v>
      </c>
      <c r="BL13" s="124">
        <f t="shared" si="43"/>
        <v>8002</v>
      </c>
      <c r="BM13" s="124">
        <f t="shared" si="43"/>
        <v>8002</v>
      </c>
      <c r="BN13" s="124">
        <f t="shared" si="43"/>
        <v>8002</v>
      </c>
      <c r="BO13" s="124">
        <f t="shared" si="43"/>
        <v>8002</v>
      </c>
      <c r="BP13" s="134">
        <f t="shared" si="43"/>
        <v>8002</v>
      </c>
    </row>
    <row r="14" spans="1:69" s="25" customFormat="1" x14ac:dyDescent="0.25">
      <c r="A14"/>
      <c r="B14"/>
      <c r="C14" s="109" t="s">
        <v>102</v>
      </c>
      <c r="D14" s="110">
        <f t="shared" ref="D14:Q14" si="44">D13+D9</f>
        <v>10030</v>
      </c>
      <c r="E14" s="31">
        <f t="shared" si="44"/>
        <v>11968</v>
      </c>
      <c r="F14" s="31">
        <f t="shared" si="44"/>
        <v>-146404</v>
      </c>
      <c r="G14" s="32">
        <f t="shared" si="44"/>
        <v>-28258</v>
      </c>
      <c r="H14" s="111">
        <f>SUM(IS!$D14:$G14)</f>
        <v>-152664</v>
      </c>
      <c r="I14" s="65">
        <f t="shared" si="44"/>
        <v>49764</v>
      </c>
      <c r="J14" s="31">
        <f t="shared" si="44"/>
        <v>69455</v>
      </c>
      <c r="K14" s="32">
        <f t="shared" si="44"/>
        <v>104745</v>
      </c>
      <c r="L14" s="32">
        <f t="shared" si="44"/>
        <v>67785</v>
      </c>
      <c r="M14" s="111">
        <f>SUM(IS!$I14:$L14)</f>
        <v>291749</v>
      </c>
      <c r="N14" s="111">
        <f t="shared" si="44"/>
        <v>92461</v>
      </c>
      <c r="O14" s="32">
        <f t="shared" si="44"/>
        <v>104631</v>
      </c>
      <c r="P14" s="112">
        <f t="shared" si="44"/>
        <v>8175</v>
      </c>
      <c r="Q14" s="113">
        <f t="shared" si="44"/>
        <v>-10217</v>
      </c>
      <c r="R14" s="114">
        <f>SUM(IS!$N14:$Q14)</f>
        <v>195050</v>
      </c>
      <c r="S14" s="114">
        <f t="shared" ref="S14" si="45">S13+S9</f>
        <v>84405.31</v>
      </c>
      <c r="T14" s="34">
        <f t="shared" ref="T14:V14" si="46">T13+T9</f>
        <v>95866.106499999994</v>
      </c>
      <c r="U14" s="34">
        <f t="shared" si="46"/>
        <v>109046.02247499998</v>
      </c>
      <c r="V14" s="34">
        <f t="shared" si="46"/>
        <v>124202.92584624997</v>
      </c>
      <c r="W14" s="114">
        <f t="shared" si="20"/>
        <v>413520.36482124991</v>
      </c>
      <c r="X14" s="114">
        <f t="shared" ref="X14:AA14" si="47">X13+X9</f>
        <v>446748.41954443743</v>
      </c>
      <c r="Y14" s="114">
        <f t="shared" si="47"/>
        <v>512560.68247610307</v>
      </c>
      <c r="Z14" s="114">
        <f t="shared" si="47"/>
        <v>588244.78484751843</v>
      </c>
      <c r="AA14" s="114">
        <f t="shared" si="47"/>
        <v>675281.50257464615</v>
      </c>
      <c r="AB14" s="114">
        <f t="shared" ref="AB14:AC14" si="48">AB13+AB9</f>
        <v>775373.72796084289</v>
      </c>
      <c r="AC14" s="114">
        <f t="shared" si="48"/>
        <v>752354.51612201775</v>
      </c>
      <c r="AD14" s="114">
        <f t="shared" ref="AD14:AX14" si="49">AD13+AD9</f>
        <v>730023.94063835707</v>
      </c>
      <c r="AE14" s="114">
        <f t="shared" si="49"/>
        <v>708363.28241920634</v>
      </c>
      <c r="AF14" s="114">
        <f t="shared" si="49"/>
        <v>687352.44394663011</v>
      </c>
      <c r="AG14" s="114">
        <f t="shared" si="49"/>
        <v>666971.93062823126</v>
      </c>
      <c r="AH14" s="114">
        <f t="shared" si="49"/>
        <v>647202.83270938427</v>
      </c>
      <c r="AI14" s="114">
        <f t="shared" si="49"/>
        <v>628026.80772810278</v>
      </c>
      <c r="AJ14" s="114">
        <f t="shared" si="49"/>
        <v>609426.06349625962</v>
      </c>
      <c r="AK14" s="114">
        <f t="shared" si="49"/>
        <v>591383.34159137181</v>
      </c>
      <c r="AL14" s="114">
        <f t="shared" si="49"/>
        <v>573881.90134363063</v>
      </c>
      <c r="AM14" s="114">
        <f t="shared" si="49"/>
        <v>556905.50430332171</v>
      </c>
      <c r="AN14" s="114">
        <f t="shared" si="49"/>
        <v>540438.39917422214</v>
      </c>
      <c r="AO14" s="114">
        <f t="shared" si="49"/>
        <v>524465.30719899538</v>
      </c>
      <c r="AP14" s="114">
        <f t="shared" si="49"/>
        <v>508971.40798302542</v>
      </c>
      <c r="AQ14" s="114">
        <f t="shared" si="49"/>
        <v>493942.32574353472</v>
      </c>
      <c r="AR14" s="114">
        <f t="shared" si="49"/>
        <v>479364.11597122869</v>
      </c>
      <c r="AS14" s="114">
        <f t="shared" si="49"/>
        <v>465223.25249209185</v>
      </c>
      <c r="AT14" s="114">
        <f t="shared" si="49"/>
        <v>451506.61491732905</v>
      </c>
      <c r="AU14" s="114">
        <f t="shared" si="49"/>
        <v>438201.47646980919</v>
      </c>
      <c r="AV14" s="114">
        <f t="shared" si="49"/>
        <v>425295.49217571493</v>
      </c>
      <c r="AW14" s="114">
        <f t="shared" si="49"/>
        <v>412776.68741044344</v>
      </c>
      <c r="AX14" s="114">
        <f t="shared" si="49"/>
        <v>400633.44678813021</v>
      </c>
      <c r="AY14" s="114">
        <f t="shared" ref="AY14:BP14" si="50">AY13+AY9</f>
        <v>388854.50338448619</v>
      </c>
      <c r="AZ14" s="114">
        <f t="shared" si="50"/>
        <v>377428.92828295159</v>
      </c>
      <c r="BA14" s="114">
        <f t="shared" si="50"/>
        <v>366346.12043446314</v>
      </c>
      <c r="BB14" s="114">
        <f t="shared" si="50"/>
        <v>355595.79682142916</v>
      </c>
      <c r="BC14" s="114">
        <f t="shared" si="50"/>
        <v>345167.98291678634</v>
      </c>
      <c r="BD14" s="114">
        <f t="shared" si="50"/>
        <v>335053.00342928269</v>
      </c>
      <c r="BE14" s="114">
        <f t="shared" si="50"/>
        <v>325241.47332640423</v>
      </c>
      <c r="BF14" s="114">
        <f t="shared" si="50"/>
        <v>315724.28912661207</v>
      </c>
      <c r="BG14" s="114">
        <f t="shared" si="50"/>
        <v>306492.62045281375</v>
      </c>
      <c r="BH14" s="114">
        <f t="shared" si="50"/>
        <v>297537.90183922928</v>
      </c>
      <c r="BI14" s="114">
        <f t="shared" si="50"/>
        <v>288851.82478405238</v>
      </c>
      <c r="BJ14" s="114">
        <f t="shared" si="50"/>
        <v>280426.33004053083</v>
      </c>
      <c r="BK14" s="114">
        <f t="shared" si="50"/>
        <v>272253.60013931489</v>
      </c>
      <c r="BL14" s="114">
        <f t="shared" si="50"/>
        <v>264326.05213513545</v>
      </c>
      <c r="BM14" s="114">
        <f t="shared" si="50"/>
        <v>256636.33057108137</v>
      </c>
      <c r="BN14" s="114">
        <f t="shared" si="50"/>
        <v>249177.30065394891</v>
      </c>
      <c r="BO14" s="114">
        <f t="shared" si="50"/>
        <v>241942.04163433047</v>
      </c>
      <c r="BP14" s="51">
        <f t="shared" si="50"/>
        <v>234923.84038530051</v>
      </c>
    </row>
    <row r="15" spans="1:69" s="25" customFormat="1" x14ac:dyDescent="0.25">
      <c r="A15"/>
      <c r="B15"/>
      <c r="C15" s="126" t="s">
        <v>103</v>
      </c>
      <c r="D15" s="127">
        <v>-3351</v>
      </c>
      <c r="E15" s="128">
        <v>-2810</v>
      </c>
      <c r="F15" s="128">
        <v>-35492</v>
      </c>
      <c r="G15" s="129">
        <f>-34618-SUM(D15:F15)</f>
        <v>7035</v>
      </c>
      <c r="H15" s="130">
        <f>SUM(IS!$D15:$G15)</f>
        <v>-34618</v>
      </c>
      <c r="I15" s="131">
        <v>-8537</v>
      </c>
      <c r="J15" s="128">
        <v>-17946</v>
      </c>
      <c r="K15" s="129">
        <v>-20796</v>
      </c>
      <c r="L15" s="129">
        <f>-64948-SUM(I15:K15)</f>
        <v>-17669</v>
      </c>
      <c r="M15" s="130">
        <f>SUM(IS!$I15:$L15)</f>
        <v>-64948</v>
      </c>
      <c r="N15" s="130">
        <v>-14650</v>
      </c>
      <c r="O15" s="129">
        <v>-24848</v>
      </c>
      <c r="P15" s="132">
        <v>-1819</v>
      </c>
      <c r="Q15" s="133">
        <v>-8659</v>
      </c>
      <c r="R15" s="124">
        <f>SUM(IS!$N15:$Q15)</f>
        <v>-49976</v>
      </c>
      <c r="S15" s="124">
        <f>-S14*$Z$43</f>
        <v>-21101.327499999999</v>
      </c>
      <c r="T15" s="177">
        <f>-T14*$Z$43</f>
        <v>-23966.526624999999</v>
      </c>
      <c r="U15" s="177">
        <f t="shared" ref="T15:BP15" si="51">-U14*$Z$43</f>
        <v>-27261.505618749994</v>
      </c>
      <c r="V15" s="177">
        <f t="shared" si="51"/>
        <v>-31050.731461562493</v>
      </c>
      <c r="W15" s="124">
        <f t="shared" si="51"/>
        <v>-103380.09120531248</v>
      </c>
      <c r="X15" s="124">
        <f t="shared" si="51"/>
        <v>-111687.10488610936</v>
      </c>
      <c r="Y15" s="124">
        <f t="shared" si="51"/>
        <v>-128140.17061902577</v>
      </c>
      <c r="Z15" s="124">
        <f t="shared" si="51"/>
        <v>-147061.19621187961</v>
      </c>
      <c r="AA15" s="124">
        <f t="shared" si="51"/>
        <v>-168820.37564366154</v>
      </c>
      <c r="AB15" s="124">
        <f t="shared" si="51"/>
        <v>-193843.43199021072</v>
      </c>
      <c r="AC15" s="124">
        <f t="shared" si="51"/>
        <v>-188088.62903050444</v>
      </c>
      <c r="AD15" s="124">
        <f t="shared" si="51"/>
        <v>-182505.98515958927</v>
      </c>
      <c r="AE15" s="124">
        <f t="shared" si="51"/>
        <v>-177090.82060480159</v>
      </c>
      <c r="AF15" s="124">
        <f t="shared" si="51"/>
        <v>-171838.11098665753</v>
      </c>
      <c r="AG15" s="124">
        <f t="shared" si="51"/>
        <v>-166742.98265705782</v>
      </c>
      <c r="AH15" s="124">
        <f t="shared" si="51"/>
        <v>-161800.70817734607</v>
      </c>
      <c r="AI15" s="124">
        <f t="shared" si="51"/>
        <v>-157006.70193202569</v>
      </c>
      <c r="AJ15" s="124">
        <f t="shared" si="51"/>
        <v>-152356.51587406491</v>
      </c>
      <c r="AK15" s="124">
        <f t="shared" si="51"/>
        <v>-147845.83539784295</v>
      </c>
      <c r="AL15" s="124">
        <f t="shared" si="51"/>
        <v>-143470.47533590766</v>
      </c>
      <c r="AM15" s="124">
        <f t="shared" si="51"/>
        <v>-139226.37607583043</v>
      </c>
      <c r="AN15" s="124">
        <f t="shared" si="51"/>
        <v>-135109.59979355554</v>
      </c>
      <c r="AO15" s="124">
        <f t="shared" si="51"/>
        <v>-131116.32679974884</v>
      </c>
      <c r="AP15" s="124">
        <f t="shared" si="51"/>
        <v>-127242.85199575635</v>
      </c>
      <c r="AQ15" s="124">
        <f t="shared" si="51"/>
        <v>-123485.58143588368</v>
      </c>
      <c r="AR15" s="124">
        <f t="shared" si="51"/>
        <v>-119841.02899280717</v>
      </c>
      <c r="AS15" s="124">
        <f t="shared" si="51"/>
        <v>-116305.81312302296</v>
      </c>
      <c r="AT15" s="124">
        <f t="shared" si="51"/>
        <v>-112876.65372933226</v>
      </c>
      <c r="AU15" s="124">
        <f t="shared" si="51"/>
        <v>-109550.3691174523</v>
      </c>
      <c r="AV15" s="124">
        <f t="shared" si="51"/>
        <v>-106323.87304392873</v>
      </c>
      <c r="AW15" s="124">
        <f t="shared" si="51"/>
        <v>-103194.17185261086</v>
      </c>
      <c r="AX15" s="124">
        <f t="shared" si="51"/>
        <v>-100158.36169703255</v>
      </c>
      <c r="AY15" s="124">
        <f t="shared" si="51"/>
        <v>-97213.625846121548</v>
      </c>
      <c r="AZ15" s="124">
        <f t="shared" si="51"/>
        <v>-94357.232070737897</v>
      </c>
      <c r="BA15" s="124">
        <f t="shared" si="51"/>
        <v>-91586.530108615785</v>
      </c>
      <c r="BB15" s="124">
        <f t="shared" si="51"/>
        <v>-88898.94920535729</v>
      </c>
      <c r="BC15" s="124">
        <f t="shared" si="51"/>
        <v>-86291.995729196584</v>
      </c>
      <c r="BD15" s="124">
        <f t="shared" si="51"/>
        <v>-83763.250857320672</v>
      </c>
      <c r="BE15" s="124">
        <f t="shared" si="51"/>
        <v>-81310.368331601057</v>
      </c>
      <c r="BF15" s="124">
        <f t="shared" si="51"/>
        <v>-78931.072281653018</v>
      </c>
      <c r="BG15" s="124">
        <f t="shared" si="51"/>
        <v>-76623.155113203436</v>
      </c>
      <c r="BH15" s="124">
        <f t="shared" si="51"/>
        <v>-74384.47545980732</v>
      </c>
      <c r="BI15" s="124">
        <f t="shared" si="51"/>
        <v>-72212.956196013096</v>
      </c>
      <c r="BJ15" s="124">
        <f t="shared" si="51"/>
        <v>-70106.582510132706</v>
      </c>
      <c r="BK15" s="124">
        <f t="shared" si="51"/>
        <v>-68063.400034828723</v>
      </c>
      <c r="BL15" s="124">
        <f t="shared" si="51"/>
        <v>-66081.513033783864</v>
      </c>
      <c r="BM15" s="124">
        <f t="shared" si="51"/>
        <v>-64159.082642770343</v>
      </c>
      <c r="BN15" s="124">
        <f t="shared" si="51"/>
        <v>-62294.325163487229</v>
      </c>
      <c r="BO15" s="124">
        <f t="shared" si="51"/>
        <v>-60485.510408582617</v>
      </c>
      <c r="BP15" s="124">
        <f t="shared" si="51"/>
        <v>-58730.960096325129</v>
      </c>
    </row>
    <row r="16" spans="1:69" s="25" customFormat="1" x14ac:dyDescent="0.25">
      <c r="A16" s="23"/>
      <c r="B16" s="23"/>
      <c r="C16" s="136" t="s">
        <v>40</v>
      </c>
      <c r="D16" s="137">
        <f t="shared" ref="D16:Q16" si="52">SUM(D14:D15)</f>
        <v>6679</v>
      </c>
      <c r="E16" s="40">
        <f t="shared" si="52"/>
        <v>9158</v>
      </c>
      <c r="F16" s="40">
        <f t="shared" si="52"/>
        <v>-181896</v>
      </c>
      <c r="G16" s="37">
        <f t="shared" si="52"/>
        <v>-21223</v>
      </c>
      <c r="H16" s="138">
        <f>SUM(IS!$D16:$G16)</f>
        <v>-187282</v>
      </c>
      <c r="I16" s="139">
        <f t="shared" si="52"/>
        <v>41227</v>
      </c>
      <c r="J16" s="40">
        <f t="shared" si="52"/>
        <v>51509</v>
      </c>
      <c r="K16" s="37">
        <f t="shared" si="52"/>
        <v>83949</v>
      </c>
      <c r="L16" s="37">
        <f t="shared" si="52"/>
        <v>50116</v>
      </c>
      <c r="M16" s="138">
        <f>SUM(IS!$I16:$L16)</f>
        <v>226801</v>
      </c>
      <c r="N16" s="138">
        <f t="shared" si="52"/>
        <v>77811</v>
      </c>
      <c r="O16" s="37">
        <f t="shared" si="52"/>
        <v>79783</v>
      </c>
      <c r="P16" s="140">
        <f t="shared" si="52"/>
        <v>6356</v>
      </c>
      <c r="Q16" s="141">
        <f t="shared" si="52"/>
        <v>-18876</v>
      </c>
      <c r="R16" s="142">
        <f>SUM(IS!$N16:$Q16)</f>
        <v>145074</v>
      </c>
      <c r="S16" s="142">
        <f t="shared" ref="S16" si="53">SUM(S14:S15)</f>
        <v>63303.982499999998</v>
      </c>
      <c r="T16" s="39">
        <f t="shared" ref="T16:V16" si="54">SUM(T14:T15)</f>
        <v>71899.579874999996</v>
      </c>
      <c r="U16" s="39">
        <f t="shared" si="54"/>
        <v>81784.516856249975</v>
      </c>
      <c r="V16" s="39">
        <f t="shared" si="54"/>
        <v>93152.194384687478</v>
      </c>
      <c r="W16" s="142">
        <f>SUM(S16:V16)</f>
        <v>310140.27361593745</v>
      </c>
      <c r="X16" s="142">
        <f t="shared" ref="X16:AA16" si="55">SUM(X14:X15)</f>
        <v>335061.31465832808</v>
      </c>
      <c r="Y16" s="142">
        <f t="shared" si="55"/>
        <v>384420.5118570773</v>
      </c>
      <c r="Z16" s="142">
        <f t="shared" si="55"/>
        <v>441183.58863563882</v>
      </c>
      <c r="AA16" s="142">
        <f t="shared" si="55"/>
        <v>506461.12693098461</v>
      </c>
      <c r="AB16" s="142">
        <f t="shared" ref="AB16:AC16" si="56">SUM(AB14:AB15)</f>
        <v>581530.29597063223</v>
      </c>
      <c r="AC16" s="142">
        <f t="shared" si="56"/>
        <v>564265.88709151326</v>
      </c>
      <c r="AD16" s="142">
        <f t="shared" ref="AD16:AX16" si="57">SUM(AD14:AD15)</f>
        <v>547517.95547876786</v>
      </c>
      <c r="AE16" s="142">
        <f t="shared" si="57"/>
        <v>531272.4618144047</v>
      </c>
      <c r="AF16" s="142">
        <f t="shared" si="57"/>
        <v>515514.33295997255</v>
      </c>
      <c r="AG16" s="142">
        <f t="shared" si="57"/>
        <v>500228.94797117345</v>
      </c>
      <c r="AH16" s="142">
        <f t="shared" si="57"/>
        <v>485402.12453203823</v>
      </c>
      <c r="AI16" s="142">
        <f t="shared" si="57"/>
        <v>471020.10579607706</v>
      </c>
      <c r="AJ16" s="142">
        <f t="shared" si="57"/>
        <v>457069.54762219475</v>
      </c>
      <c r="AK16" s="142">
        <f t="shared" si="57"/>
        <v>443537.50619352888</v>
      </c>
      <c r="AL16" s="142">
        <f t="shared" si="57"/>
        <v>430411.42600772297</v>
      </c>
      <c r="AM16" s="142">
        <f t="shared" si="57"/>
        <v>417679.12822749128</v>
      </c>
      <c r="AN16" s="142">
        <f t="shared" si="57"/>
        <v>405328.79938066658</v>
      </c>
      <c r="AO16" s="142">
        <f t="shared" si="57"/>
        <v>393348.98039924656</v>
      </c>
      <c r="AP16" s="142">
        <f t="shared" si="57"/>
        <v>381728.55598726904</v>
      </c>
      <c r="AQ16" s="142">
        <f t="shared" si="57"/>
        <v>370456.74430765107</v>
      </c>
      <c r="AR16" s="142">
        <f t="shared" si="57"/>
        <v>359523.08697842155</v>
      </c>
      <c r="AS16" s="142">
        <f t="shared" si="57"/>
        <v>348917.43936906889</v>
      </c>
      <c r="AT16" s="142">
        <f t="shared" si="57"/>
        <v>338629.96118799679</v>
      </c>
      <c r="AU16" s="142">
        <f t="shared" si="57"/>
        <v>328651.10735235689</v>
      </c>
      <c r="AV16" s="142">
        <f t="shared" si="57"/>
        <v>318971.61913178617</v>
      </c>
      <c r="AW16" s="142">
        <f t="shared" si="57"/>
        <v>309582.51555783255</v>
      </c>
      <c r="AX16" s="142">
        <f t="shared" si="57"/>
        <v>300475.08509109763</v>
      </c>
      <c r="AY16" s="142">
        <f t="shared" ref="AY16:BP16" si="58">SUM(AY14:AY15)</f>
        <v>291640.87753836461</v>
      </c>
      <c r="AZ16" s="142">
        <f t="shared" si="58"/>
        <v>283071.69621221372</v>
      </c>
      <c r="BA16" s="142">
        <f t="shared" si="58"/>
        <v>274759.59032584738</v>
      </c>
      <c r="BB16" s="142">
        <f t="shared" si="58"/>
        <v>266696.84761607187</v>
      </c>
      <c r="BC16" s="142">
        <f t="shared" si="58"/>
        <v>258875.98718758975</v>
      </c>
      <c r="BD16" s="142">
        <f t="shared" si="58"/>
        <v>251289.75257196202</v>
      </c>
      <c r="BE16" s="142">
        <f t="shared" si="58"/>
        <v>243931.10499480317</v>
      </c>
      <c r="BF16" s="142">
        <f t="shared" si="58"/>
        <v>236793.21684495907</v>
      </c>
      <c r="BG16" s="142">
        <f t="shared" si="58"/>
        <v>229869.46533961029</v>
      </c>
      <c r="BH16" s="142">
        <f t="shared" si="58"/>
        <v>223153.42637942196</v>
      </c>
      <c r="BI16" s="142">
        <f t="shared" si="58"/>
        <v>216638.8685880393</v>
      </c>
      <c r="BJ16" s="142">
        <f t="shared" si="58"/>
        <v>210319.74753039813</v>
      </c>
      <c r="BK16" s="142">
        <f t="shared" si="58"/>
        <v>204190.20010448617</v>
      </c>
      <c r="BL16" s="142">
        <f t="shared" si="58"/>
        <v>198244.53910135158</v>
      </c>
      <c r="BM16" s="142">
        <f t="shared" si="58"/>
        <v>192477.24792831103</v>
      </c>
      <c r="BN16" s="142">
        <f t="shared" si="58"/>
        <v>186882.97549046169</v>
      </c>
      <c r="BO16" s="142">
        <f t="shared" si="58"/>
        <v>181456.53122574784</v>
      </c>
      <c r="BP16" s="60">
        <f t="shared" si="58"/>
        <v>176192.88028897537</v>
      </c>
    </row>
    <row r="17" spans="1:68" s="53" customFormat="1" x14ac:dyDescent="0.25">
      <c r="A17"/>
      <c r="B17"/>
      <c r="C17" s="126" t="s">
        <v>104</v>
      </c>
      <c r="D17" s="143">
        <f t="shared" ref="D17:Q17" si="59">D16/D18</f>
        <v>8.5312112812783406E-2</v>
      </c>
      <c r="E17" s="144">
        <f t="shared" si="59"/>
        <v>0.11685295768897055</v>
      </c>
      <c r="F17" s="144">
        <f t="shared" si="59"/>
        <v>-2.3998100163597025</v>
      </c>
      <c r="G17" s="144">
        <f t="shared" si="59"/>
        <v>-9.3515226021934642E-2</v>
      </c>
      <c r="H17" s="145">
        <f>SUM(IS!$D17:$G17)</f>
        <v>-2.2911601718798829</v>
      </c>
      <c r="I17" s="145">
        <f t="shared" si="59"/>
        <v>0.17448587886252154</v>
      </c>
      <c r="J17" s="144">
        <f t="shared" si="59"/>
        <v>0.21749172409133902</v>
      </c>
      <c r="K17" s="144">
        <f t="shared" si="59"/>
        <v>0.353807639301564</v>
      </c>
      <c r="L17" s="144">
        <f t="shared" si="59"/>
        <v>0.21149204098512855</v>
      </c>
      <c r="M17" s="145">
        <f>SUM(IS!$I17:$L17)</f>
        <v>0.95727728324055306</v>
      </c>
      <c r="N17" s="145">
        <f t="shared" si="59"/>
        <v>0.32759353830997417</v>
      </c>
      <c r="O17" s="144">
        <f t="shared" si="59"/>
        <v>0.33579410341126709</v>
      </c>
      <c r="P17" s="146">
        <f t="shared" si="59"/>
        <v>2.7197726961522662E-2</v>
      </c>
      <c r="Q17" s="147">
        <f t="shared" si="59"/>
        <v>-8.0771600712036151E-2</v>
      </c>
      <c r="R17" s="145">
        <f>SUM(IS!$N17:$Q17)</f>
        <v>0.60981376797072773</v>
      </c>
      <c r="S17" s="145">
        <f t="shared" ref="S17" si="60">S16/S18</f>
        <v>0.2708817545015747</v>
      </c>
      <c r="T17" s="144">
        <f t="shared" ref="T17:V17" si="61">T16/T18</f>
        <v>0.30766286061806791</v>
      </c>
      <c r="U17" s="144">
        <f t="shared" si="61"/>
        <v>0.34996113265203499</v>
      </c>
      <c r="V17" s="144">
        <f t="shared" si="61"/>
        <v>0.39860414549109729</v>
      </c>
      <c r="W17" s="148">
        <f t="shared" si="20"/>
        <v>1.327109893262775</v>
      </c>
      <c r="X17" s="148">
        <f t="shared" ref="X17:AA17" si="62">X16/X18</f>
        <v>1.4337486078423596</v>
      </c>
      <c r="Y17" s="148">
        <f t="shared" si="62"/>
        <v>1.6449597419599706</v>
      </c>
      <c r="Z17" s="148">
        <f t="shared" si="62"/>
        <v>1.8878525461952229</v>
      </c>
      <c r="AA17" s="148">
        <f t="shared" si="62"/>
        <v>2.1671792710657631</v>
      </c>
      <c r="AB17" s="148">
        <f t="shared" ref="AB17:AC17" si="63">AB16/AB18</f>
        <v>2.4884050046668844</v>
      </c>
      <c r="AC17" s="148">
        <f t="shared" si="63"/>
        <v>2.4145295045337245</v>
      </c>
      <c r="AD17" s="148">
        <f t="shared" ref="AD17:AX17" si="64">AD16/AD18</f>
        <v>2.3428640433673142</v>
      </c>
      <c r="AE17" s="148">
        <f t="shared" si="64"/>
        <v>2.273348546035896</v>
      </c>
      <c r="AF17" s="148">
        <f t="shared" si="64"/>
        <v>2.2059185136244204</v>
      </c>
      <c r="AG17" s="148">
        <f t="shared" si="64"/>
        <v>2.1405113821852897</v>
      </c>
      <c r="AH17" s="148">
        <f t="shared" si="64"/>
        <v>2.0770664646893322</v>
      </c>
      <c r="AI17" s="148">
        <f t="shared" si="64"/>
        <v>2.0155248947182538</v>
      </c>
      <c r="AJ17" s="148">
        <f t="shared" si="64"/>
        <v>1.9558295718463079</v>
      </c>
      <c r="AK17" s="148">
        <f t="shared" si="64"/>
        <v>1.89792510866052</v>
      </c>
      <c r="AL17" s="148">
        <f t="shared" si="64"/>
        <v>1.8417577793703057</v>
      </c>
      <c r="AM17" s="148">
        <f t="shared" si="64"/>
        <v>1.787275469958798</v>
      </c>
      <c r="AN17" s="148">
        <f t="shared" si="64"/>
        <v>1.7344276298296359</v>
      </c>
      <c r="AO17" s="148">
        <f t="shared" si="64"/>
        <v>1.6831652249043483</v>
      </c>
      <c r="AP17" s="148">
        <f t="shared" si="64"/>
        <v>1.6334406921268187</v>
      </c>
      <c r="AQ17" s="148">
        <f t="shared" si="64"/>
        <v>1.5852078953326161</v>
      </c>
      <c r="AR17" s="148">
        <f t="shared" si="64"/>
        <v>1.5384220824422392</v>
      </c>
      <c r="AS17" s="148">
        <f t="shared" si="64"/>
        <v>1.4930398439385735</v>
      </c>
      <c r="AT17" s="148">
        <f t="shared" si="64"/>
        <v>1.4490190725900178</v>
      </c>
      <c r="AU17" s="148">
        <f t="shared" si="64"/>
        <v>1.4063189243819187</v>
      </c>
      <c r="AV17" s="148">
        <f t="shared" si="64"/>
        <v>1.3648997806200627</v>
      </c>
      <c r="AW17" s="148">
        <f t="shared" si="64"/>
        <v>1.3247232111710623</v>
      </c>
      <c r="AX17" s="148">
        <f t="shared" si="64"/>
        <v>1.2857519388055321</v>
      </c>
      <c r="AY17" s="148">
        <f t="shared" ref="AY17:BP17" si="65">AY16/AY18</f>
        <v>1.2479498046109674</v>
      </c>
      <c r="AZ17" s="148">
        <f t="shared" si="65"/>
        <v>1.21128173444224</v>
      </c>
      <c r="BA17" s="148">
        <f t="shared" si="65"/>
        <v>1.1757137063785748</v>
      </c>
      <c r="BB17" s="148">
        <f t="shared" si="65"/>
        <v>1.1412127191568187</v>
      </c>
      <c r="BC17" s="148">
        <f t="shared" si="65"/>
        <v>1.1077467615517156</v>
      </c>
      <c r="BD17" s="148">
        <f t="shared" si="65"/>
        <v>1.0752847826747656</v>
      </c>
      <c r="BE17" s="148">
        <f t="shared" si="65"/>
        <v>1.0437966631641242</v>
      </c>
      <c r="BF17" s="148">
        <f t="shared" si="65"/>
        <v>1.013253187238802</v>
      </c>
      <c r="BG17" s="148">
        <f t="shared" si="65"/>
        <v>0.98362601559123941</v>
      </c>
      <c r="BH17" s="148">
        <f t="shared" si="65"/>
        <v>0.95488765909310369</v>
      </c>
      <c r="BI17" s="148">
        <f t="shared" si="65"/>
        <v>0.92701145328991208</v>
      </c>
      <c r="BJ17" s="148">
        <f t="shared" si="65"/>
        <v>0.89997153366081628</v>
      </c>
      <c r="BK17" s="148">
        <f t="shared" si="65"/>
        <v>0.87374281162059331</v>
      </c>
      <c r="BL17" s="148">
        <f t="shared" si="65"/>
        <v>0.84830095124157701</v>
      </c>
      <c r="BM17" s="148">
        <f t="shared" si="65"/>
        <v>0.82362234667393119</v>
      </c>
      <c r="BN17" s="148">
        <f t="shared" si="65"/>
        <v>0.79968410024331471</v>
      </c>
      <c r="BO17" s="148">
        <f t="shared" si="65"/>
        <v>0.77646400120561687</v>
      </c>
      <c r="BP17" s="149">
        <f t="shared" si="65"/>
        <v>0.75394050513904975</v>
      </c>
    </row>
    <row r="18" spans="1:68" s="25" customFormat="1" x14ac:dyDescent="0.25">
      <c r="A18"/>
      <c r="B18"/>
      <c r="C18" s="109" t="s">
        <v>105</v>
      </c>
      <c r="D18" s="110">
        <v>78289</v>
      </c>
      <c r="E18" s="31">
        <v>78372</v>
      </c>
      <c r="F18" s="31">
        <v>75796</v>
      </c>
      <c r="G18" s="34">
        <v>226947</v>
      </c>
      <c r="H18" s="114">
        <f>IS!$G18</f>
        <v>226947</v>
      </c>
      <c r="I18" s="65">
        <v>236277</v>
      </c>
      <c r="J18" s="31">
        <v>236832</v>
      </c>
      <c r="K18" s="34">
        <v>237273</v>
      </c>
      <c r="L18" s="34">
        <v>236964</v>
      </c>
      <c r="M18" s="114">
        <f>IS!$L18</f>
        <v>236964</v>
      </c>
      <c r="N18" s="114">
        <v>237523</v>
      </c>
      <c r="O18" s="34">
        <v>237595</v>
      </c>
      <c r="P18" s="64">
        <v>233696</v>
      </c>
      <c r="Q18" s="113">
        <f>IS!$P18</f>
        <v>233696</v>
      </c>
      <c r="R18" s="114">
        <f>IS!$Q18</f>
        <v>233696</v>
      </c>
      <c r="S18" s="114">
        <f>IS!$P18</f>
        <v>233696</v>
      </c>
      <c r="T18" s="34">
        <f>IS!$P18</f>
        <v>233696</v>
      </c>
      <c r="U18" s="34">
        <f>IS!$P18</f>
        <v>233696</v>
      </c>
      <c r="V18" s="34">
        <f>IS!$P18</f>
        <v>233696</v>
      </c>
      <c r="W18" s="114">
        <f>IS!$V18</f>
        <v>233696</v>
      </c>
      <c r="X18" s="114">
        <f>IS!$P18</f>
        <v>233696</v>
      </c>
      <c r="Y18" s="114">
        <f>IS!$P18</f>
        <v>233696</v>
      </c>
      <c r="Z18" s="114">
        <f>IS!$P18</f>
        <v>233696</v>
      </c>
      <c r="AA18" s="114">
        <f>IS!$P18</f>
        <v>233696</v>
      </c>
      <c r="AB18" s="114">
        <f>IS!$P18</f>
        <v>233696</v>
      </c>
      <c r="AC18" s="114">
        <f>IS!$P18</f>
        <v>233696</v>
      </c>
      <c r="AD18" s="114">
        <f>IS!$Q18</f>
        <v>233696</v>
      </c>
      <c r="AE18" s="114">
        <f>IS!$Q18</f>
        <v>233696</v>
      </c>
      <c r="AF18" s="114">
        <f>IS!$Q18</f>
        <v>233696</v>
      </c>
      <c r="AG18" s="114">
        <f>IS!$Q18</f>
        <v>233696</v>
      </c>
      <c r="AH18" s="114">
        <f>IS!$Q18</f>
        <v>233696</v>
      </c>
      <c r="AI18" s="114">
        <f>IS!$Q18</f>
        <v>233696</v>
      </c>
      <c r="AJ18" s="114">
        <f>IS!$Q18</f>
        <v>233696</v>
      </c>
      <c r="AK18" s="114">
        <f>IS!$Q18</f>
        <v>233696</v>
      </c>
      <c r="AL18" s="114">
        <f>IS!$Q18</f>
        <v>233696</v>
      </c>
      <c r="AM18" s="114">
        <f>IS!$Q18</f>
        <v>233696</v>
      </c>
      <c r="AN18" s="114">
        <f>IS!$Q18</f>
        <v>233696</v>
      </c>
      <c r="AO18" s="114">
        <f>IS!$Q18</f>
        <v>233696</v>
      </c>
      <c r="AP18" s="114">
        <f>IS!$Q18</f>
        <v>233696</v>
      </c>
      <c r="AQ18" s="114">
        <f>IS!$Q18</f>
        <v>233696</v>
      </c>
      <c r="AR18" s="114">
        <f>IS!$Q18</f>
        <v>233696</v>
      </c>
      <c r="AS18" s="114">
        <f>IS!$Q18</f>
        <v>233696</v>
      </c>
      <c r="AT18" s="114">
        <f>IS!$Q18</f>
        <v>233696</v>
      </c>
      <c r="AU18" s="114">
        <f>IS!$Q18</f>
        <v>233696</v>
      </c>
      <c r="AV18" s="114">
        <f>IS!$Q18</f>
        <v>233696</v>
      </c>
      <c r="AW18" s="114">
        <f>IS!$Q18</f>
        <v>233696</v>
      </c>
      <c r="AX18" s="114">
        <f>IS!$Q18</f>
        <v>233696</v>
      </c>
      <c r="AY18" s="114">
        <f>IS!$Q18</f>
        <v>233696</v>
      </c>
      <c r="AZ18" s="114">
        <f>IS!$Q18</f>
        <v>233696</v>
      </c>
      <c r="BA18" s="114">
        <f>IS!$Q18</f>
        <v>233696</v>
      </c>
      <c r="BB18" s="114">
        <f>IS!$Q18</f>
        <v>233696</v>
      </c>
      <c r="BC18" s="114">
        <f>IS!$Q18</f>
        <v>233696</v>
      </c>
      <c r="BD18" s="114">
        <f>IS!$Q18</f>
        <v>233696</v>
      </c>
      <c r="BE18" s="114">
        <f>IS!$Q18</f>
        <v>233696</v>
      </c>
      <c r="BF18" s="114">
        <f>IS!$Q18</f>
        <v>233696</v>
      </c>
      <c r="BG18" s="114">
        <f>IS!$Q18</f>
        <v>233696</v>
      </c>
      <c r="BH18" s="114">
        <f>IS!$Q18</f>
        <v>233696</v>
      </c>
      <c r="BI18" s="114">
        <f>IS!$Q18</f>
        <v>233696</v>
      </c>
      <c r="BJ18" s="114">
        <f>IS!$Q18</f>
        <v>233696</v>
      </c>
      <c r="BK18" s="114">
        <f>IS!$Q18</f>
        <v>233696</v>
      </c>
      <c r="BL18" s="114">
        <f>IS!$Q18</f>
        <v>233696</v>
      </c>
      <c r="BM18" s="114">
        <f>IS!$Q18</f>
        <v>233696</v>
      </c>
      <c r="BN18" s="114">
        <f>IS!$Q18</f>
        <v>233696</v>
      </c>
      <c r="BO18" s="114">
        <f>IS!$Q18</f>
        <v>233696</v>
      </c>
      <c r="BP18" s="51">
        <f>IS!$Q18</f>
        <v>233696</v>
      </c>
    </row>
    <row r="19" spans="1:68" x14ac:dyDescent="0.25">
      <c r="C19" s="126"/>
      <c r="D19" s="150"/>
      <c r="E19" s="151"/>
      <c r="F19" s="151"/>
      <c r="G19" s="151"/>
      <c r="H19" s="131">
        <f>SUM(IS!$D19:$G19)</f>
        <v>0</v>
      </c>
      <c r="I19" s="152"/>
      <c r="J19" s="153"/>
      <c r="K19" s="153"/>
      <c r="L19" s="153"/>
      <c r="M19" s="131">
        <f>SUM(IS!$I19:$L19)</f>
        <v>0</v>
      </c>
      <c r="N19" s="152"/>
      <c r="O19" s="153"/>
      <c r="P19" s="126"/>
      <c r="Q19" s="154"/>
      <c r="R19" s="131"/>
      <c r="S19" s="131"/>
      <c r="T19" s="128"/>
      <c r="U19" s="128"/>
      <c r="V19" s="128"/>
      <c r="W19" s="131"/>
      <c r="X19" s="131"/>
      <c r="Y19" s="131"/>
      <c r="Z19" s="131"/>
      <c r="AA19" s="131"/>
      <c r="AB19" s="131"/>
      <c r="AC19" s="131"/>
      <c r="AD19" s="155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</row>
    <row r="20" spans="1:68" x14ac:dyDescent="0.25">
      <c r="C20" s="109"/>
      <c r="D20" s="156"/>
      <c r="E20" s="36"/>
      <c r="F20" s="36"/>
      <c r="G20" s="36"/>
      <c r="H20" s="65">
        <f>SUM(IS!$D20:$G20)</f>
        <v>0</v>
      </c>
      <c r="I20" s="157"/>
      <c r="J20" s="44"/>
      <c r="K20" s="44"/>
      <c r="L20" s="44"/>
      <c r="M20" s="65">
        <f>SUM(IS!$I20:$L20)</f>
        <v>0</v>
      </c>
      <c r="N20" s="157"/>
      <c r="O20" s="44"/>
      <c r="P20" s="109"/>
      <c r="Q20" s="67"/>
      <c r="R20" s="65"/>
      <c r="S20" s="65"/>
      <c r="T20" s="31"/>
      <c r="U20" s="31"/>
      <c r="V20" s="31"/>
      <c r="W20" s="65"/>
      <c r="X20" s="65"/>
      <c r="Y20" s="65"/>
      <c r="Z20" s="65"/>
      <c r="AA20" s="65"/>
      <c r="AB20" s="65"/>
      <c r="AC20" s="65"/>
      <c r="AD20" s="158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</row>
    <row r="21" spans="1:68" s="1" customFormat="1" x14ac:dyDescent="0.25">
      <c r="A21"/>
      <c r="B21"/>
      <c r="C21" s="126" t="s">
        <v>106</v>
      </c>
      <c r="D21" s="159">
        <f>D7/D5</f>
        <v>0.40403934386901369</v>
      </c>
      <c r="E21" s="153">
        <f t="shared" ref="E21:L21" si="66">E7/E5</f>
        <v>0.38513829372808728</v>
      </c>
      <c r="F21" s="153">
        <f t="shared" si="66"/>
        <v>0.41783321734233636</v>
      </c>
      <c r="G21" s="153">
        <f t="shared" si="66"/>
        <v>0.44394621353876929</v>
      </c>
      <c r="H21" s="160">
        <f t="shared" ref="H21" si="67">H7/H5</f>
        <v>0.41442371833709707</v>
      </c>
      <c r="I21" s="152">
        <f t="shared" si="66"/>
        <v>0.43786426815522106</v>
      </c>
      <c r="J21" s="153">
        <f t="shared" si="66"/>
        <v>0.48788675690355127</v>
      </c>
      <c r="K21" s="153">
        <f t="shared" si="66"/>
        <v>0.50442746980561759</v>
      </c>
      <c r="L21" s="153">
        <f t="shared" si="66"/>
        <v>0.4784923798696159</v>
      </c>
      <c r="M21" s="160">
        <f t="shared" ref="M21" si="68">M7/M5</f>
        <v>0.48037350134368828</v>
      </c>
      <c r="N21" s="152">
        <f>N7/N5</f>
        <v>0.51223756564373024</v>
      </c>
      <c r="O21" s="153">
        <f>O7/O5</f>
        <v>0.52017403980824772</v>
      </c>
      <c r="P21" s="161">
        <f>P7/P5</f>
        <v>0.45994325451179313</v>
      </c>
      <c r="Q21" s="162">
        <v>0.45</v>
      </c>
      <c r="R21" s="160">
        <f t="shared" ref="R21" si="69">R7/R5</f>
        <v>0.50176449326143568</v>
      </c>
      <c r="S21" s="131">
        <f>IS!$Q21*Q60</f>
        <v>0</v>
      </c>
      <c r="T21" s="128">
        <f>IS!$Q21*R60</f>
        <v>0</v>
      </c>
      <c r="U21" s="128">
        <f>IS!$Q21*S60</f>
        <v>0</v>
      </c>
      <c r="V21" s="128">
        <f>IS!$Q21*T60</f>
        <v>0</v>
      </c>
      <c r="W21" s="160">
        <f t="shared" ref="W21:X21" si="70">W7/W5</f>
        <v>0.5</v>
      </c>
      <c r="X21" s="160">
        <f t="shared" si="70"/>
        <v>0.5</v>
      </c>
      <c r="Y21" s="160">
        <f t="shared" ref="Y21:AA21" si="71">Y7/Y5</f>
        <v>0.5</v>
      </c>
      <c r="Z21" s="160">
        <f t="shared" si="71"/>
        <v>0.5</v>
      </c>
      <c r="AA21" s="160">
        <f t="shared" si="71"/>
        <v>0.5</v>
      </c>
      <c r="AB21" s="160">
        <f t="shared" ref="AB21:AC21" si="72">AB7/AB5</f>
        <v>0.5</v>
      </c>
      <c r="AC21" s="160">
        <f t="shared" si="72"/>
        <v>0.5</v>
      </c>
      <c r="AD21" s="160">
        <f t="shared" ref="AD21:AX21" si="73">AD7/AD5</f>
        <v>0.5</v>
      </c>
      <c r="AE21" s="160">
        <f t="shared" si="73"/>
        <v>0.5</v>
      </c>
      <c r="AF21" s="160">
        <f t="shared" si="73"/>
        <v>0.5</v>
      </c>
      <c r="AG21" s="160">
        <f t="shared" si="73"/>
        <v>0.5</v>
      </c>
      <c r="AH21" s="160">
        <f t="shared" si="73"/>
        <v>0.5</v>
      </c>
      <c r="AI21" s="160">
        <f t="shared" si="73"/>
        <v>0.5</v>
      </c>
      <c r="AJ21" s="160">
        <f t="shared" si="73"/>
        <v>0.5</v>
      </c>
      <c r="AK21" s="160">
        <f t="shared" si="73"/>
        <v>0.5</v>
      </c>
      <c r="AL21" s="160">
        <f t="shared" si="73"/>
        <v>0.5</v>
      </c>
      <c r="AM21" s="160">
        <f t="shared" si="73"/>
        <v>0.5</v>
      </c>
      <c r="AN21" s="160">
        <f t="shared" si="73"/>
        <v>0.5</v>
      </c>
      <c r="AO21" s="160">
        <f t="shared" si="73"/>
        <v>0.5</v>
      </c>
      <c r="AP21" s="160">
        <f t="shared" si="73"/>
        <v>0.5</v>
      </c>
      <c r="AQ21" s="160">
        <f t="shared" si="73"/>
        <v>0.5</v>
      </c>
      <c r="AR21" s="160">
        <f t="shared" si="73"/>
        <v>0.5</v>
      </c>
      <c r="AS21" s="160">
        <f t="shared" si="73"/>
        <v>0.5</v>
      </c>
      <c r="AT21" s="160">
        <f t="shared" si="73"/>
        <v>0.5</v>
      </c>
      <c r="AU21" s="160">
        <f t="shared" si="73"/>
        <v>0.5</v>
      </c>
      <c r="AV21" s="160">
        <f t="shared" si="73"/>
        <v>0.5</v>
      </c>
      <c r="AW21" s="160">
        <f t="shared" si="73"/>
        <v>0.5</v>
      </c>
      <c r="AX21" s="160">
        <f t="shared" si="73"/>
        <v>0.5</v>
      </c>
      <c r="AY21" s="160">
        <f t="shared" ref="AY21:BP21" si="74">AY7/AY5</f>
        <v>0.5</v>
      </c>
      <c r="AZ21" s="160">
        <f t="shared" si="74"/>
        <v>0.5</v>
      </c>
      <c r="BA21" s="160">
        <f t="shared" si="74"/>
        <v>0.5</v>
      </c>
      <c r="BB21" s="160">
        <f t="shared" si="74"/>
        <v>0.5</v>
      </c>
      <c r="BC21" s="160">
        <f t="shared" si="74"/>
        <v>0.5</v>
      </c>
      <c r="BD21" s="160">
        <f t="shared" si="74"/>
        <v>0.5</v>
      </c>
      <c r="BE21" s="160">
        <f t="shared" si="74"/>
        <v>0.5</v>
      </c>
      <c r="BF21" s="160">
        <f t="shared" si="74"/>
        <v>0.5</v>
      </c>
      <c r="BG21" s="160">
        <f t="shared" si="74"/>
        <v>0.5</v>
      </c>
      <c r="BH21" s="160">
        <f t="shared" si="74"/>
        <v>0.5</v>
      </c>
      <c r="BI21" s="160">
        <f t="shared" si="74"/>
        <v>0.5</v>
      </c>
      <c r="BJ21" s="160">
        <f t="shared" si="74"/>
        <v>0.5</v>
      </c>
      <c r="BK21" s="160">
        <f t="shared" si="74"/>
        <v>0.5</v>
      </c>
      <c r="BL21" s="160">
        <f t="shared" si="74"/>
        <v>0.5</v>
      </c>
      <c r="BM21" s="160">
        <f t="shared" si="74"/>
        <v>0.5</v>
      </c>
      <c r="BN21" s="160">
        <f t="shared" si="74"/>
        <v>0.5</v>
      </c>
      <c r="BO21" s="160">
        <f t="shared" si="74"/>
        <v>0.5</v>
      </c>
      <c r="BP21" s="163">
        <f t="shared" si="74"/>
        <v>0.5</v>
      </c>
    </row>
    <row r="22" spans="1:68" s="1" customFormat="1" x14ac:dyDescent="0.25">
      <c r="A22"/>
      <c r="B22"/>
      <c r="C22" s="109" t="s">
        <v>107</v>
      </c>
      <c r="D22" s="164">
        <f>D9/D5</f>
        <v>7.5838906048520102E-2</v>
      </c>
      <c r="E22" s="44">
        <f t="shared" ref="E22:L22" si="75">E9/E5</f>
        <v>8.070380470068822E-2</v>
      </c>
      <c r="F22" s="44">
        <f t="shared" si="75"/>
        <v>-0.78412924407516216</v>
      </c>
      <c r="G22" s="44">
        <f t="shared" si="75"/>
        <v>-0.18401577856071205</v>
      </c>
      <c r="H22" s="165">
        <f t="shared" ref="H22" si="76">H9/H5</f>
        <v>-0.24143212097845179</v>
      </c>
      <c r="I22" s="157">
        <f t="shared" si="75"/>
        <v>0.17278284520599063</v>
      </c>
      <c r="J22" s="44">
        <f t="shared" si="75"/>
        <v>0.19888426214316182</v>
      </c>
      <c r="K22" s="44">
        <f t="shared" si="75"/>
        <v>0.25391870713203396</v>
      </c>
      <c r="L22" s="44">
        <f t="shared" si="75"/>
        <v>0.16965187732957243</v>
      </c>
      <c r="M22" s="165">
        <f t="shared" ref="M22" si="77">M9/M5</f>
        <v>0.20209648759421373</v>
      </c>
      <c r="N22" s="157">
        <f>N9/N5</f>
        <v>0.23387160255040651</v>
      </c>
      <c r="O22" s="44">
        <f>O9/O5</f>
        <v>0.23446117563940225</v>
      </c>
      <c r="P22" s="166">
        <f>P9/P5</f>
        <v>-1.2094164396345411E-2</v>
      </c>
      <c r="Q22" s="167">
        <v>0.22</v>
      </c>
      <c r="R22" s="165">
        <f t="shared" ref="R22" si="78">R9/R5</f>
        <v>0.11487500276624153</v>
      </c>
      <c r="S22" s="65">
        <f>IS!$Q22*Q61</f>
        <v>0</v>
      </c>
      <c r="T22" s="31">
        <f>IS!$Q22*R61</f>
        <v>0</v>
      </c>
      <c r="U22" s="31">
        <f>IS!$Q22*S61</f>
        <v>0</v>
      </c>
      <c r="V22" s="31">
        <f>IS!$Q22*T61</f>
        <v>0</v>
      </c>
      <c r="W22" s="165">
        <f t="shared" ref="W22:X22" si="79">W9/W5</f>
        <v>0.19999999999999996</v>
      </c>
      <c r="X22" s="165">
        <f t="shared" si="79"/>
        <v>0.2</v>
      </c>
      <c r="Y22" s="165">
        <f t="shared" ref="Y22:AA22" si="80">Y9/Y5</f>
        <v>0.2</v>
      </c>
      <c r="Z22" s="165">
        <f t="shared" si="80"/>
        <v>0.2</v>
      </c>
      <c r="AA22" s="165">
        <f t="shared" si="80"/>
        <v>0.2</v>
      </c>
      <c r="AB22" s="165">
        <f t="shared" ref="AB22:AC22" si="81">AB9/AB5</f>
        <v>0.19999999999999998</v>
      </c>
      <c r="AC22" s="165">
        <f t="shared" si="81"/>
        <v>0.20000000000000004</v>
      </c>
      <c r="AD22" s="165">
        <f t="shared" ref="AD22:AX22" si="82">AD9/AD5</f>
        <v>0.2</v>
      </c>
      <c r="AE22" s="165">
        <f t="shared" si="82"/>
        <v>0.2</v>
      </c>
      <c r="AF22" s="165">
        <f t="shared" si="82"/>
        <v>0.2</v>
      </c>
      <c r="AG22" s="165">
        <f t="shared" si="82"/>
        <v>0.20000000000000004</v>
      </c>
      <c r="AH22" s="165">
        <f t="shared" si="82"/>
        <v>0.2</v>
      </c>
      <c r="AI22" s="165">
        <f t="shared" si="82"/>
        <v>0.2</v>
      </c>
      <c r="AJ22" s="165">
        <f t="shared" si="82"/>
        <v>0.2</v>
      </c>
      <c r="AK22" s="165">
        <f t="shared" si="82"/>
        <v>0.2</v>
      </c>
      <c r="AL22" s="165">
        <f t="shared" si="82"/>
        <v>0.2</v>
      </c>
      <c r="AM22" s="165">
        <f t="shared" si="82"/>
        <v>0.2</v>
      </c>
      <c r="AN22" s="165">
        <f t="shared" si="82"/>
        <v>0.20000000000000004</v>
      </c>
      <c r="AO22" s="165">
        <f t="shared" si="82"/>
        <v>0.2</v>
      </c>
      <c r="AP22" s="165">
        <f t="shared" si="82"/>
        <v>0.19999999999999998</v>
      </c>
      <c r="AQ22" s="165">
        <f t="shared" si="82"/>
        <v>0.2</v>
      </c>
      <c r="AR22" s="165">
        <f t="shared" si="82"/>
        <v>0.2</v>
      </c>
      <c r="AS22" s="165">
        <f t="shared" si="82"/>
        <v>0.2</v>
      </c>
      <c r="AT22" s="165">
        <f t="shared" si="82"/>
        <v>0.2</v>
      </c>
      <c r="AU22" s="165">
        <f t="shared" si="82"/>
        <v>0.2</v>
      </c>
      <c r="AV22" s="165">
        <f t="shared" si="82"/>
        <v>0.2</v>
      </c>
      <c r="AW22" s="165">
        <f t="shared" si="82"/>
        <v>0.19999999999999998</v>
      </c>
      <c r="AX22" s="165">
        <f t="shared" si="82"/>
        <v>0.20000000000000004</v>
      </c>
      <c r="AY22" s="165">
        <f t="shared" ref="AY22:BP22" si="83">AY9/AY5</f>
        <v>0.19999999999999998</v>
      </c>
      <c r="AZ22" s="165">
        <f t="shared" si="83"/>
        <v>0.19999999999999998</v>
      </c>
      <c r="BA22" s="165">
        <f t="shared" si="83"/>
        <v>0.20000000000000004</v>
      </c>
      <c r="BB22" s="165">
        <f t="shared" si="83"/>
        <v>0.2</v>
      </c>
      <c r="BC22" s="165">
        <f t="shared" si="83"/>
        <v>0.20000000000000004</v>
      </c>
      <c r="BD22" s="165">
        <f t="shared" si="83"/>
        <v>0.2</v>
      </c>
      <c r="BE22" s="165">
        <f t="shared" si="83"/>
        <v>0.2</v>
      </c>
      <c r="BF22" s="165">
        <f t="shared" si="83"/>
        <v>0.2</v>
      </c>
      <c r="BG22" s="165">
        <f t="shared" si="83"/>
        <v>0.2</v>
      </c>
      <c r="BH22" s="165">
        <f t="shared" si="83"/>
        <v>0.2</v>
      </c>
      <c r="BI22" s="165">
        <f t="shared" si="83"/>
        <v>0.2</v>
      </c>
      <c r="BJ22" s="165">
        <f t="shared" si="83"/>
        <v>0.2</v>
      </c>
      <c r="BK22" s="165">
        <f t="shared" si="83"/>
        <v>0.2</v>
      </c>
      <c r="BL22" s="165">
        <f t="shared" si="83"/>
        <v>0.20000000000000004</v>
      </c>
      <c r="BM22" s="165">
        <f t="shared" si="83"/>
        <v>0.2</v>
      </c>
      <c r="BN22" s="165">
        <f t="shared" si="83"/>
        <v>0.2</v>
      </c>
      <c r="BO22" s="165">
        <f t="shared" si="83"/>
        <v>0.20000000000000004</v>
      </c>
      <c r="BP22" s="52">
        <f t="shared" si="83"/>
        <v>0.19999999999999998</v>
      </c>
    </row>
    <row r="23" spans="1:68" s="1" customFormat="1" x14ac:dyDescent="0.25">
      <c r="A23"/>
      <c r="B23"/>
      <c r="C23" s="126" t="s">
        <v>108</v>
      </c>
      <c r="D23" s="159">
        <f>D16/D5</f>
        <v>5.0071970492098238E-2</v>
      </c>
      <c r="E23" s="153">
        <f t="shared" ref="E23:L23" si="84">E16/E5</f>
        <v>5.9459810414231914E-2</v>
      </c>
      <c r="F23" s="153">
        <f t="shared" si="84"/>
        <v>-0.96633427719900333</v>
      </c>
      <c r="G23" s="153">
        <f t="shared" si="84"/>
        <v>-0.11925512606553047</v>
      </c>
      <c r="H23" s="160">
        <f t="shared" ref="H23" si="85">H16/H5</f>
        <v>-0.28653741409171302</v>
      </c>
      <c r="I23" s="152">
        <f t="shared" si="84"/>
        <v>0.15860259522426415</v>
      </c>
      <c r="J23" s="153">
        <f t="shared" si="84"/>
        <v>0.15805979446611207</v>
      </c>
      <c r="K23" s="153">
        <f t="shared" si="84"/>
        <v>0.21818706352321077</v>
      </c>
      <c r="L23" s="153">
        <f t="shared" si="84"/>
        <v>0.14424568624347001</v>
      </c>
      <c r="M23" s="160">
        <f t="shared" ref="M23" si="86">M16/M5</f>
        <v>0.17207783832341689</v>
      </c>
      <c r="N23" s="152">
        <f>N16/N5</f>
        <v>0.21874964858816781</v>
      </c>
      <c r="O23" s="153">
        <f>O16/O5</f>
        <v>0.19847652975170221</v>
      </c>
      <c r="P23" s="161">
        <f>P16/P5</f>
        <v>2.3917395427246864E-2</v>
      </c>
      <c r="Q23" s="162">
        <f>Q16/Q5</f>
        <v>-5.6821705193002947E-2</v>
      </c>
      <c r="R23" s="160">
        <f t="shared" ref="R23" si="87">R16/R5</f>
        <v>0.10701592617454615</v>
      </c>
      <c r="S23" s="131">
        <f>IS!$Q23*Q62</f>
        <v>0</v>
      </c>
      <c r="T23" s="128">
        <f>IS!$Q23*R62</f>
        <v>0</v>
      </c>
      <c r="U23" s="128">
        <f>IS!$Q23*S62</f>
        <v>0</v>
      </c>
      <c r="V23" s="128">
        <f>IS!$Q23*T62</f>
        <v>0</v>
      </c>
      <c r="W23" s="160">
        <f t="shared" ref="W23:X23" si="88">W16/W5</f>
        <v>0.16258124190106835</v>
      </c>
      <c r="X23" s="160">
        <f t="shared" si="88"/>
        <v>0.15273505258718878</v>
      </c>
      <c r="Y23" s="160">
        <f t="shared" ref="Y23:AA23" si="89">Y16/Y5</f>
        <v>0.15237830659755547</v>
      </c>
      <c r="Z23" s="160">
        <f t="shared" si="89"/>
        <v>0.15206809269352647</v>
      </c>
      <c r="AA23" s="160">
        <f t="shared" si="89"/>
        <v>0.15179834147263174</v>
      </c>
      <c r="AB23" s="160">
        <f t="shared" ref="AB23:AC23" si="90">AB16/AB5</f>
        <v>0.15156377519359282</v>
      </c>
      <c r="AC23" s="160">
        <f t="shared" si="90"/>
        <v>0.15161254240968167</v>
      </c>
      <c r="AD23" s="160">
        <f t="shared" ref="AD23:AX23" si="91">AD16/AD5</f>
        <v>0.15166241485534193</v>
      </c>
      <c r="AE23" s="160">
        <f t="shared" si="91"/>
        <v>0.15171382974777517</v>
      </c>
      <c r="AF23" s="160">
        <f t="shared" si="91"/>
        <v>0.15176683479152078</v>
      </c>
      <c r="AG23" s="160">
        <f t="shared" si="91"/>
        <v>0.15182147916651631</v>
      </c>
      <c r="AH23" s="160">
        <f t="shared" si="91"/>
        <v>0.15187781357372815</v>
      </c>
      <c r="AI23" s="160">
        <f t="shared" si="91"/>
        <v>0.15193589028219395</v>
      </c>
      <c r="AJ23" s="160">
        <f t="shared" si="91"/>
        <v>0.15199576317751953</v>
      </c>
      <c r="AK23" s="160">
        <f t="shared" si="91"/>
        <v>0.15205748781187581</v>
      </c>
      <c r="AL23" s="160">
        <f t="shared" si="91"/>
        <v>0.15212112145554207</v>
      </c>
      <c r="AM23" s="160">
        <f t="shared" si="91"/>
        <v>0.15218672315004336</v>
      </c>
      <c r="AN23" s="160">
        <f t="shared" si="91"/>
        <v>0.15225435376293131</v>
      </c>
      <c r="AO23" s="160">
        <f t="shared" si="91"/>
        <v>0.1523240760442591</v>
      </c>
      <c r="AP23" s="160">
        <f t="shared" si="91"/>
        <v>0.15239595468480316</v>
      </c>
      <c r="AQ23" s="160">
        <f t="shared" si="91"/>
        <v>0.15247005637608577</v>
      </c>
      <c r="AR23" s="160">
        <f t="shared" si="91"/>
        <v>0.15254644987225335</v>
      </c>
      <c r="AS23" s="160">
        <f t="shared" si="91"/>
        <v>0.15262520605386945</v>
      </c>
      <c r="AT23" s="160">
        <f t="shared" si="91"/>
        <v>0.15270639799367983</v>
      </c>
      <c r="AU23" s="160">
        <f t="shared" si="91"/>
        <v>0.15279010102441218</v>
      </c>
      <c r="AV23" s="160">
        <f t="shared" si="91"/>
        <v>0.15287639280867235</v>
      </c>
      <c r="AW23" s="160">
        <f t="shared" si="91"/>
        <v>0.1529653534110024</v>
      </c>
      <c r="AX23" s="160">
        <f t="shared" si="91"/>
        <v>0.15305706537216746</v>
      </c>
      <c r="AY23" s="160">
        <f t="shared" ref="AY23:BP23" si="92">AY16/AY5</f>
        <v>0.1531516137857396</v>
      </c>
      <c r="AZ23" s="160">
        <f t="shared" si="92"/>
        <v>0.15324908637705117</v>
      </c>
      <c r="BA23" s="160">
        <f t="shared" si="92"/>
        <v>0.15334957358458889</v>
      </c>
      <c r="BB23" s="160">
        <f t="shared" si="92"/>
        <v>0.15345316864390601</v>
      </c>
      <c r="BC23" s="160">
        <f t="shared" si="92"/>
        <v>0.15355996767412994</v>
      </c>
      <c r="BD23" s="160">
        <f t="shared" si="92"/>
        <v>0.15367006976714426</v>
      </c>
      <c r="BE23" s="160">
        <f t="shared" si="92"/>
        <v>0.15378357707953016</v>
      </c>
      <c r="BF23" s="160">
        <f t="shared" si="92"/>
        <v>0.1539005949273507</v>
      </c>
      <c r="BG23" s="160">
        <f t="shared" si="92"/>
        <v>0.15402123188386668</v>
      </c>
      <c r="BH23" s="160">
        <f t="shared" si="92"/>
        <v>0.15414559988027493</v>
      </c>
      <c r="BI23" s="160">
        <f t="shared" si="92"/>
        <v>0.1542738143095618</v>
      </c>
      <c r="BJ23" s="160">
        <f t="shared" si="92"/>
        <v>0.15440599413356887</v>
      </c>
      <c r="BK23" s="160">
        <f t="shared" si="92"/>
        <v>0.15454226199336996</v>
      </c>
      <c r="BL23" s="160">
        <f t="shared" si="92"/>
        <v>0.15468274432306181</v>
      </c>
      <c r="BM23" s="160">
        <f t="shared" si="92"/>
        <v>0.15482757146707402</v>
      </c>
      <c r="BN23" s="160">
        <f t="shared" si="92"/>
        <v>0.15497687780110722</v>
      </c>
      <c r="BO23" s="160">
        <f t="shared" si="92"/>
        <v>0.15513080185681158</v>
      </c>
      <c r="BP23" s="163">
        <f t="shared" si="92"/>
        <v>0.1552894864503212</v>
      </c>
    </row>
    <row r="24" spans="1:68" s="1" customFormat="1" x14ac:dyDescent="0.25">
      <c r="A24"/>
      <c r="B24"/>
      <c r="C24" s="109" t="s">
        <v>109</v>
      </c>
      <c r="D24" s="164">
        <f>-D15/D14</f>
        <v>0.33409770687936191</v>
      </c>
      <c r="E24" s="44">
        <f t="shared" ref="E24:L24" si="93">-E15/E14</f>
        <v>0.23479278074866311</v>
      </c>
      <c r="F24" s="44">
        <f t="shared" si="93"/>
        <v>-0.24242507035326905</v>
      </c>
      <c r="G24" s="44">
        <f t="shared" si="93"/>
        <v>0.24895604784485809</v>
      </c>
      <c r="H24" s="165">
        <f t="shared" ref="H24" si="94">-H15/H14</f>
        <v>-0.22675941937850444</v>
      </c>
      <c r="I24" s="157">
        <f t="shared" si="93"/>
        <v>0.17154971465316293</v>
      </c>
      <c r="J24" s="44">
        <f t="shared" si="93"/>
        <v>0.25838312576488376</v>
      </c>
      <c r="K24" s="44">
        <f t="shared" si="93"/>
        <v>0.19853930975225548</v>
      </c>
      <c r="L24" s="44">
        <f t="shared" si="93"/>
        <v>0.26066238843401934</v>
      </c>
      <c r="M24" s="165">
        <f t="shared" ref="M24" si="95">-M15/M14</f>
        <v>0.22261601582181945</v>
      </c>
      <c r="N24" s="157">
        <f>-N15/N14</f>
        <v>0.15844518229307492</v>
      </c>
      <c r="O24" s="44">
        <f>-O15/O14</f>
        <v>0.23748219934818554</v>
      </c>
      <c r="P24" s="166">
        <f>-P15/P14</f>
        <v>0.22250764525993882</v>
      </c>
      <c r="Q24" s="167">
        <f>IS!$P24</f>
        <v>0.22250764525993882</v>
      </c>
      <c r="R24" s="165">
        <f t="shared" ref="R24" si="96">-R15/R14</f>
        <v>0.25622148167136632</v>
      </c>
      <c r="S24" s="65">
        <f>IS!$Q24*Q63</f>
        <v>0</v>
      </c>
      <c r="T24" s="31">
        <f>IS!$Q24*R63</f>
        <v>0</v>
      </c>
      <c r="U24" s="31">
        <f>IS!$Q24*S63</f>
        <v>0</v>
      </c>
      <c r="V24" s="31">
        <f>IS!$Q24*T63</f>
        <v>0</v>
      </c>
      <c r="W24" s="165">
        <f t="shared" ref="W24:X24" si="97">-W15/W14</f>
        <v>0.25</v>
      </c>
      <c r="X24" s="165">
        <f t="shared" si="97"/>
        <v>0.25</v>
      </c>
      <c r="Y24" s="165">
        <f t="shared" ref="Y24:AA24" si="98">-Y15/Y14</f>
        <v>0.25</v>
      </c>
      <c r="Z24" s="165">
        <f t="shared" si="98"/>
        <v>0.25</v>
      </c>
      <c r="AA24" s="165">
        <f t="shared" si="98"/>
        <v>0.25</v>
      </c>
      <c r="AB24" s="165">
        <f t="shared" ref="AB24:AC24" si="99">-AB15/AB14</f>
        <v>0.25</v>
      </c>
      <c r="AC24" s="165">
        <f t="shared" si="99"/>
        <v>0.25</v>
      </c>
      <c r="AD24" s="165">
        <f t="shared" ref="AD24:AX24" si="100">-AD15/AD14</f>
        <v>0.25</v>
      </c>
      <c r="AE24" s="165">
        <f t="shared" si="100"/>
        <v>0.25</v>
      </c>
      <c r="AF24" s="165">
        <f t="shared" si="100"/>
        <v>0.25</v>
      </c>
      <c r="AG24" s="165">
        <f t="shared" si="100"/>
        <v>0.25</v>
      </c>
      <c r="AH24" s="165">
        <f t="shared" si="100"/>
        <v>0.25</v>
      </c>
      <c r="AI24" s="165">
        <f t="shared" si="100"/>
        <v>0.25</v>
      </c>
      <c r="AJ24" s="165">
        <f t="shared" si="100"/>
        <v>0.25</v>
      </c>
      <c r="AK24" s="165">
        <f t="shared" si="100"/>
        <v>0.25</v>
      </c>
      <c r="AL24" s="165">
        <f t="shared" si="100"/>
        <v>0.25</v>
      </c>
      <c r="AM24" s="165">
        <f t="shared" si="100"/>
        <v>0.25</v>
      </c>
      <c r="AN24" s="165">
        <f t="shared" si="100"/>
        <v>0.25</v>
      </c>
      <c r="AO24" s="165">
        <f t="shared" si="100"/>
        <v>0.25</v>
      </c>
      <c r="AP24" s="165">
        <f t="shared" si="100"/>
        <v>0.25</v>
      </c>
      <c r="AQ24" s="165">
        <f t="shared" si="100"/>
        <v>0.25</v>
      </c>
      <c r="AR24" s="165">
        <f t="shared" si="100"/>
        <v>0.25</v>
      </c>
      <c r="AS24" s="165">
        <f t="shared" si="100"/>
        <v>0.25</v>
      </c>
      <c r="AT24" s="165">
        <f t="shared" si="100"/>
        <v>0.25</v>
      </c>
      <c r="AU24" s="165">
        <f t="shared" si="100"/>
        <v>0.25</v>
      </c>
      <c r="AV24" s="165">
        <f t="shared" si="100"/>
        <v>0.25</v>
      </c>
      <c r="AW24" s="165">
        <f t="shared" si="100"/>
        <v>0.25</v>
      </c>
      <c r="AX24" s="165">
        <f t="shared" si="100"/>
        <v>0.25</v>
      </c>
      <c r="AY24" s="165">
        <f t="shared" ref="AY24:BP24" si="101">-AY15/AY14</f>
        <v>0.25</v>
      </c>
      <c r="AZ24" s="165">
        <f t="shared" si="101"/>
        <v>0.25</v>
      </c>
      <c r="BA24" s="165">
        <f t="shared" si="101"/>
        <v>0.25</v>
      </c>
      <c r="BB24" s="165">
        <f t="shared" si="101"/>
        <v>0.25</v>
      </c>
      <c r="BC24" s="165">
        <f t="shared" si="101"/>
        <v>0.25</v>
      </c>
      <c r="BD24" s="165">
        <f t="shared" si="101"/>
        <v>0.25</v>
      </c>
      <c r="BE24" s="165">
        <f t="shared" si="101"/>
        <v>0.25</v>
      </c>
      <c r="BF24" s="165">
        <f t="shared" si="101"/>
        <v>0.25</v>
      </c>
      <c r="BG24" s="165">
        <f t="shared" si="101"/>
        <v>0.25</v>
      </c>
      <c r="BH24" s="165">
        <f t="shared" si="101"/>
        <v>0.25</v>
      </c>
      <c r="BI24" s="165">
        <f t="shared" si="101"/>
        <v>0.25</v>
      </c>
      <c r="BJ24" s="165">
        <f t="shared" si="101"/>
        <v>0.25</v>
      </c>
      <c r="BK24" s="165">
        <f t="shared" si="101"/>
        <v>0.25</v>
      </c>
      <c r="BL24" s="165">
        <f t="shared" si="101"/>
        <v>0.25</v>
      </c>
      <c r="BM24" s="165">
        <f t="shared" si="101"/>
        <v>0.25</v>
      </c>
      <c r="BN24" s="165">
        <f t="shared" si="101"/>
        <v>0.25</v>
      </c>
      <c r="BO24" s="165">
        <f t="shared" si="101"/>
        <v>0.25</v>
      </c>
      <c r="BP24" s="52">
        <f t="shared" si="101"/>
        <v>0.25</v>
      </c>
    </row>
    <row r="25" spans="1:68" x14ac:dyDescent="0.25">
      <c r="C25" s="126"/>
      <c r="D25" s="150"/>
      <c r="E25" s="151"/>
      <c r="F25" s="151"/>
      <c r="G25" s="151"/>
      <c r="H25" s="131"/>
      <c r="I25" s="152"/>
      <c r="J25" s="153"/>
      <c r="K25" s="153"/>
      <c r="L25" s="153"/>
      <c r="M25" s="131"/>
      <c r="N25" s="152"/>
      <c r="O25" s="153"/>
      <c r="P25" s="126"/>
      <c r="Q25" s="154"/>
      <c r="R25" s="131"/>
      <c r="S25" s="131">
        <f>IS!$Q25*Q64</f>
        <v>0</v>
      </c>
      <c r="T25" s="128">
        <f>IS!$Q25*R64</f>
        <v>0</v>
      </c>
      <c r="U25" s="128">
        <f>IS!$Q25*S64</f>
        <v>0</v>
      </c>
      <c r="V25" s="128">
        <f>IS!$Q25*T64</f>
        <v>0</v>
      </c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68"/>
    </row>
    <row r="26" spans="1:68" x14ac:dyDescent="0.25">
      <c r="C26" s="109" t="s">
        <v>110</v>
      </c>
      <c r="D26" s="156"/>
      <c r="E26" s="36"/>
      <c r="F26" s="36"/>
      <c r="G26" s="36"/>
      <c r="H26" s="65">
        <f>SUM(IS!$D26:$G26)</f>
        <v>0</v>
      </c>
      <c r="I26" s="165">
        <f t="shared" ref="I26:R26" si="102">I5/D5-1</f>
        <v>0.94874351515878486</v>
      </c>
      <c r="J26" s="49">
        <f t="shared" si="102"/>
        <v>1.1158485910920661</v>
      </c>
      <c r="K26" s="49">
        <f t="shared" si="102"/>
        <v>1.0440464743164055</v>
      </c>
      <c r="L26" s="49">
        <f t="shared" si="102"/>
        <v>0.95228783511179294</v>
      </c>
      <c r="M26" s="165">
        <f t="shared" si="102"/>
        <v>1.0165329465547948</v>
      </c>
      <c r="N26" s="165">
        <f t="shared" si="102"/>
        <v>0.36842874674442849</v>
      </c>
      <c r="O26" s="49">
        <f t="shared" si="102"/>
        <v>0.23350098041321576</v>
      </c>
      <c r="P26" s="58">
        <f t="shared" si="102"/>
        <v>-0.30930951223759406</v>
      </c>
      <c r="Q26" s="169">
        <f t="shared" si="102"/>
        <v>-4.3858563472304213E-2</v>
      </c>
      <c r="R26" s="165">
        <f t="shared" si="102"/>
        <v>2.8539909287761844E-2</v>
      </c>
      <c r="S26" s="65">
        <f>IS!$Q26*Q65</f>
        <v>0</v>
      </c>
      <c r="T26" s="31">
        <f>IS!$Q26*R65</f>
        <v>0</v>
      </c>
      <c r="U26" s="31">
        <f>IS!$Q26*S65</f>
        <v>0</v>
      </c>
      <c r="V26" s="31">
        <f>IS!$Q26*T65</f>
        <v>0</v>
      </c>
      <c r="W26" s="165">
        <f>W5/R5-1</f>
        <v>0.40716996828504093</v>
      </c>
      <c r="X26" s="165">
        <f>X5/W5-1</f>
        <v>0.14999999999999991</v>
      </c>
      <c r="Y26" s="165">
        <f t="shared" ref="Y26:AA26" si="103">Y5/X5-1</f>
        <v>0.14999999999999991</v>
      </c>
      <c r="Z26" s="165">
        <f t="shared" si="103"/>
        <v>0.14999999999999991</v>
      </c>
      <c r="AA26" s="165">
        <f t="shared" si="103"/>
        <v>0.14999999999999991</v>
      </c>
      <c r="AB26" s="165">
        <f t="shared" ref="AB26:AC26" si="104">AB5/AA5-1</f>
        <v>0.14999999999999991</v>
      </c>
      <c r="AC26" s="165">
        <f t="shared" si="104"/>
        <v>-3.0000000000000027E-2</v>
      </c>
      <c r="AD26" s="165">
        <f t="shared" ref="AD26" si="105">AD5/AC5-1</f>
        <v>-3.0000000000000027E-2</v>
      </c>
      <c r="AE26" s="165">
        <f t="shared" ref="AE26" si="106">AE5/AD5-1</f>
        <v>-3.0000000000000027E-2</v>
      </c>
      <c r="AF26" s="165">
        <f t="shared" ref="AF26" si="107">AF5/AE5-1</f>
        <v>-3.0000000000000138E-2</v>
      </c>
      <c r="AG26" s="165">
        <f t="shared" ref="AG26" si="108">AG5/AF5-1</f>
        <v>-2.9999999999999916E-2</v>
      </c>
      <c r="AH26" s="165">
        <f t="shared" ref="AH26" si="109">AH5/AG5-1</f>
        <v>-3.0000000000000027E-2</v>
      </c>
      <c r="AI26" s="165">
        <f t="shared" ref="AI26" si="110">AI5/AH5-1</f>
        <v>-3.0000000000000027E-2</v>
      </c>
      <c r="AJ26" s="165">
        <f t="shared" ref="AJ26" si="111">AJ5/AI5-1</f>
        <v>-3.0000000000000027E-2</v>
      </c>
      <c r="AK26" s="165">
        <f t="shared" ref="AK26" si="112">AK5/AJ5-1</f>
        <v>-3.0000000000000027E-2</v>
      </c>
      <c r="AL26" s="165">
        <f t="shared" ref="AL26" si="113">AL5/AK5-1</f>
        <v>-3.0000000000000027E-2</v>
      </c>
      <c r="AM26" s="165">
        <f t="shared" ref="AM26" si="114">AM5/AL5-1</f>
        <v>-3.0000000000000027E-2</v>
      </c>
      <c r="AN26" s="165">
        <f t="shared" ref="AN26" si="115">AN5/AM5-1</f>
        <v>-3.0000000000000027E-2</v>
      </c>
      <c r="AO26" s="165">
        <f t="shared" ref="AO26" si="116">AO5/AN5-1</f>
        <v>-3.0000000000000138E-2</v>
      </c>
      <c r="AP26" s="165">
        <f t="shared" ref="AP26" si="117">AP5/AO5-1</f>
        <v>-3.0000000000000138E-2</v>
      </c>
      <c r="AQ26" s="165">
        <f t="shared" ref="AQ26" si="118">AQ5/AP5-1</f>
        <v>-2.9999999999999916E-2</v>
      </c>
      <c r="AR26" s="165">
        <f t="shared" ref="AR26" si="119">AR5/AQ5-1</f>
        <v>-3.0000000000000027E-2</v>
      </c>
      <c r="AS26" s="165">
        <f t="shared" ref="AS26" si="120">AS5/AR5-1</f>
        <v>-3.0000000000000027E-2</v>
      </c>
      <c r="AT26" s="165">
        <f t="shared" ref="AT26" si="121">AT5/AS5-1</f>
        <v>-3.0000000000000027E-2</v>
      </c>
      <c r="AU26" s="165">
        <f t="shared" ref="AU26" si="122">AU5/AT5-1</f>
        <v>-2.9999999999999916E-2</v>
      </c>
      <c r="AV26" s="165">
        <f t="shared" ref="AV26" si="123">AV5/AU5-1</f>
        <v>-3.0000000000000027E-2</v>
      </c>
      <c r="AW26" s="165">
        <f t="shared" ref="AW26" si="124">AW5/AV5-1</f>
        <v>-3.0000000000000027E-2</v>
      </c>
      <c r="AX26" s="165">
        <f t="shared" ref="AX26" si="125">AX5/AW5-1</f>
        <v>-3.0000000000000027E-2</v>
      </c>
      <c r="AY26" s="165">
        <f t="shared" ref="AY26" si="126">AY5/AX5-1</f>
        <v>-3.0000000000000027E-2</v>
      </c>
      <c r="AZ26" s="165">
        <f t="shared" ref="AZ26" si="127">AZ5/AY5-1</f>
        <v>-3.0000000000000027E-2</v>
      </c>
      <c r="BA26" s="165">
        <f t="shared" ref="BA26" si="128">BA5/AZ5-1</f>
        <v>-3.0000000000000027E-2</v>
      </c>
      <c r="BB26" s="165">
        <f t="shared" ref="BB26" si="129">BB5/BA5-1</f>
        <v>-3.0000000000000027E-2</v>
      </c>
      <c r="BC26" s="165">
        <f t="shared" ref="BC26" si="130">BC5/BB5-1</f>
        <v>-3.0000000000000027E-2</v>
      </c>
      <c r="BD26" s="165">
        <f t="shared" ref="BD26" si="131">BD5/BC5-1</f>
        <v>-3.0000000000000027E-2</v>
      </c>
      <c r="BE26" s="165">
        <f t="shared" ref="BE26" si="132">BE5/BD5-1</f>
        <v>-3.0000000000000027E-2</v>
      </c>
      <c r="BF26" s="165">
        <f t="shared" ref="BF26" si="133">BF5/BE5-1</f>
        <v>-3.0000000000000027E-2</v>
      </c>
      <c r="BG26" s="165">
        <f t="shared" ref="BG26" si="134">BG5/BF5-1</f>
        <v>-2.9999999999999916E-2</v>
      </c>
      <c r="BH26" s="165">
        <f t="shared" ref="BH26" si="135">BH5/BG5-1</f>
        <v>-3.0000000000000027E-2</v>
      </c>
      <c r="BI26" s="165">
        <f t="shared" ref="BI26" si="136">BI5/BH5-1</f>
        <v>-3.0000000000000138E-2</v>
      </c>
      <c r="BJ26" s="165">
        <f t="shared" ref="BJ26" si="137">BJ5/BI5-1</f>
        <v>-2.9999999999999916E-2</v>
      </c>
      <c r="BK26" s="165">
        <f t="shared" ref="BK26" si="138">BK5/BJ5-1</f>
        <v>-3.0000000000000027E-2</v>
      </c>
      <c r="BL26" s="165">
        <f t="shared" ref="BL26" si="139">BL5/BK5-1</f>
        <v>-3.0000000000000027E-2</v>
      </c>
      <c r="BM26" s="165">
        <f t="shared" ref="BM26" si="140">BM5/BL5-1</f>
        <v>-3.0000000000000027E-2</v>
      </c>
      <c r="BN26" s="165">
        <f t="shared" ref="BN26" si="141">BN5/BM5-1</f>
        <v>-3.0000000000000027E-2</v>
      </c>
      <c r="BO26" s="165">
        <f t="shared" ref="BO26" si="142">BO5/BN5-1</f>
        <v>-3.0000000000000027E-2</v>
      </c>
      <c r="BP26" s="52">
        <f t="shared" ref="BP26" si="143">BP5/BO5-1</f>
        <v>-3.0000000000000027E-2</v>
      </c>
    </row>
    <row r="27" spans="1:68" x14ac:dyDescent="0.25">
      <c r="C27" s="126" t="s">
        <v>111</v>
      </c>
      <c r="D27" s="150"/>
      <c r="E27" s="153">
        <f>E5/D5-1</f>
        <v>0.15467658260113359</v>
      </c>
      <c r="F27" s="170">
        <f t="shared" ref="F27:P27" si="144">F5/E5-1</f>
        <v>0.2221334891572524</v>
      </c>
      <c r="G27" s="170">
        <f t="shared" si="144"/>
        <v>-5.4560039950486861E-2</v>
      </c>
      <c r="H27" s="131"/>
      <c r="I27" s="160">
        <f>I5/G5-1</f>
        <v>0.46063507583036922</v>
      </c>
      <c r="J27" s="171">
        <f t="shared" si="144"/>
        <v>0.25369028887546685</v>
      </c>
      <c r="K27" s="171">
        <f t="shared" si="144"/>
        <v>0.18065993009761172</v>
      </c>
      <c r="L27" s="171">
        <f t="shared" si="144"/>
        <v>-9.7001484053571452E-2</v>
      </c>
      <c r="M27" s="160"/>
      <c r="N27" s="160">
        <f>N5/L5-1</f>
        <v>2.3811648221969683E-2</v>
      </c>
      <c r="O27" s="171">
        <f t="shared" si="144"/>
        <v>0.13007579250396395</v>
      </c>
      <c r="P27" s="172">
        <f t="shared" si="144"/>
        <v>-0.33889749911064559</v>
      </c>
      <c r="Q27" s="173">
        <f t="shared" ref="Q27" si="145">Q5/P5-1</f>
        <v>0.25004515556090734</v>
      </c>
      <c r="R27" s="160"/>
      <c r="S27" s="131">
        <f>IS!$Q27*Q66</f>
        <v>0</v>
      </c>
      <c r="T27" s="128">
        <f>IS!$Q27*R66</f>
        <v>0</v>
      </c>
      <c r="U27" s="128">
        <f>IS!$Q27*S66</f>
        <v>0</v>
      </c>
      <c r="V27" s="128">
        <f>IS!$Q27*T66</f>
        <v>0</v>
      </c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3"/>
    </row>
    <row r="28" spans="1:68" x14ac:dyDescent="0.25">
      <c r="C28" s="109" t="s">
        <v>112</v>
      </c>
      <c r="D28" s="156"/>
      <c r="E28" s="36"/>
      <c r="F28" s="36"/>
      <c r="G28" s="36"/>
      <c r="H28" s="65">
        <f>SUM(IS!$D28:$G28)</f>
        <v>0</v>
      </c>
      <c r="I28" s="157">
        <f t="shared" ref="I28:R28" si="146">I16/D16-1</f>
        <v>5.1726306333283425</v>
      </c>
      <c r="J28" s="44">
        <f t="shared" si="146"/>
        <v>4.6244813278008294</v>
      </c>
      <c r="K28" s="44">
        <f t="shared" si="146"/>
        <v>-1.4615219685974403</v>
      </c>
      <c r="L28" s="44">
        <f t="shared" si="146"/>
        <v>-3.3614003675257975</v>
      </c>
      <c r="M28" s="165">
        <f t="shared" si="146"/>
        <v>-2.2110133381745176</v>
      </c>
      <c r="N28" s="157">
        <f t="shared" si="146"/>
        <v>0.88737962985422181</v>
      </c>
      <c r="O28" s="44">
        <f t="shared" si="146"/>
        <v>0.54891378205750452</v>
      </c>
      <c r="P28" s="58">
        <f t="shared" si="146"/>
        <v>-0.92428736494776587</v>
      </c>
      <c r="Q28" s="169">
        <f t="shared" si="146"/>
        <v>-1.3766461808604038</v>
      </c>
      <c r="R28" s="165">
        <f t="shared" si="146"/>
        <v>-0.36034673568458697</v>
      </c>
      <c r="S28" s="65">
        <f>IS!$Q28*Q67</f>
        <v>0</v>
      </c>
      <c r="T28" s="31">
        <f>IS!$Q28*R67</f>
        <v>0</v>
      </c>
      <c r="U28" s="31">
        <f>IS!$Q28*S67</f>
        <v>0</v>
      </c>
      <c r="V28" s="31">
        <f>IS!$Q28*T67</f>
        <v>0</v>
      </c>
      <c r="W28" s="165">
        <f>W16/R16-1</f>
        <v>1.1378074197715473</v>
      </c>
      <c r="X28" s="165">
        <f>X16/W16-1</f>
        <v>8.0354095106176526E-2</v>
      </c>
      <c r="Y28" s="165">
        <f t="shared" ref="Y28:AA28" si="147">Y16/X16-1</f>
        <v>0.14731392446508562</v>
      </c>
      <c r="Z28" s="165">
        <f t="shared" si="147"/>
        <v>0.14765881379312384</v>
      </c>
      <c r="AA28" s="165">
        <f t="shared" si="147"/>
        <v>0.14796003291332016</v>
      </c>
      <c r="AB28" s="165">
        <f t="shared" ref="AB28:AC28" si="148">AB16/AA16-1</f>
        <v>0.14822296331911233</v>
      </c>
      <c r="AC28" s="165">
        <f t="shared" si="148"/>
        <v>-2.9687892442994634E-2</v>
      </c>
      <c r="AD28" s="165">
        <f t="shared" ref="AD28" si="149">AD16/AC16-1</f>
        <v>-2.9680921700002028E-2</v>
      </c>
      <c r="AE28" s="165">
        <f t="shared" ref="AE28" si="150">AE16/AD16-1</f>
        <v>-2.967116146932125E-2</v>
      </c>
      <c r="AF28" s="165">
        <f t="shared" ref="AF28" si="151">AF16/AE16-1</f>
        <v>-2.9661106093500256E-2</v>
      </c>
      <c r="AG28" s="165">
        <f t="shared" ref="AG28" si="152">AG16/AF16-1</f>
        <v>-2.9650746859032462E-2</v>
      </c>
      <c r="AH28" s="165">
        <f t="shared" ref="AH28" si="153">AH16/AG16-1</f>
        <v>-2.96400748082849E-2</v>
      </c>
      <c r="AI28" s="165">
        <f t="shared" ref="AI28" si="154">AI16/AH16-1</f>
        <v>-2.9629080733477364E-2</v>
      </c>
      <c r="AJ28" s="165">
        <f t="shared" ref="AJ28" si="155">AJ16/AI16-1</f>
        <v>-2.9617755170565974E-2</v>
      </c>
      <c r="AK28" s="165">
        <f t="shared" ref="AK28" si="156">AK16/AJ16-1</f>
        <v>-2.9606088393032026E-2</v>
      </c>
      <c r="AL28" s="165">
        <f t="shared" ref="AL28" si="157">AL16/AK16-1</f>
        <v>-2.9594070405578266E-2</v>
      </c>
      <c r="AM28" s="165">
        <f t="shared" ref="AM28" si="158">AM16/AL16-1</f>
        <v>-2.9581690937738325E-2</v>
      </c>
      <c r="AN28" s="165">
        <f t="shared" ref="AN28" si="159">AN16/AM16-1</f>
        <v>-2.9568939437400021E-2</v>
      </c>
      <c r="AO28" s="165">
        <f t="shared" ref="AO28" si="160">AO16/AN16-1</f>
        <v>-2.9555805064246377E-2</v>
      </c>
      <c r="AP28" s="165">
        <f t="shared" ref="AP28" si="161">AP16/AO16-1</f>
        <v>-2.9542276683119595E-2</v>
      </c>
      <c r="AQ28" s="165">
        <f t="shared" ref="AQ28" si="162">AQ16/AP16-1</f>
        <v>-2.9528342857310097E-2</v>
      </c>
      <c r="AR28" s="165">
        <f t="shared" ref="AR28" si="163">AR16/AQ16-1</f>
        <v>-2.9513991841783049E-2</v>
      </c>
      <c r="AS28" s="165">
        <f t="shared" ref="AS28" si="164">AS16/AR16-1</f>
        <v>-2.9499211576332507E-2</v>
      </c>
      <c r="AT28" s="165">
        <f t="shared" ref="AT28" si="165">AT16/AS16-1</f>
        <v>-2.9483989678688705E-2</v>
      </c>
      <c r="AU28" s="165">
        <f t="shared" ref="AU28" si="166">AU16/AT16-1</f>
        <v>-2.9468313437569504E-2</v>
      </c>
      <c r="AV28" s="165">
        <f t="shared" ref="AV28" si="167">AV16/AU16-1</f>
        <v>-2.9452169805693207E-2</v>
      </c>
      <c r="AW28" s="165">
        <f t="shared" ref="AW28" si="168">AW16/AV16-1</f>
        <v>-2.943554539275306E-2</v>
      </c>
      <c r="AX28" s="165">
        <f t="shared" ref="AX28" si="169">AX16/AW16-1</f>
        <v>-2.9418426458368785E-2</v>
      </c>
      <c r="AY28" s="165">
        <f t="shared" ref="AY28" si="170">AY16/AX16-1</f>
        <v>-2.9400798905022896E-2</v>
      </c>
      <c r="AZ28" s="165">
        <f t="shared" ref="AZ28" si="171">AZ16/AY16-1</f>
        <v>-2.9382648270984024E-2</v>
      </c>
      <c r="BA28" s="165">
        <f t="shared" ref="BA28" si="172">BA16/AZ16-1</f>
        <v>-2.9363959723245903E-2</v>
      </c>
      <c r="BB28" s="165">
        <f t="shared" ref="BB28" si="173">BB16/BA16-1</f>
        <v>-2.9344718050473229E-2</v>
      </c>
      <c r="BC28" s="165">
        <f t="shared" ref="BC28" si="174">BC16/BB16-1</f>
        <v>-2.9324907655979393E-2</v>
      </c>
      <c r="BD28" s="165">
        <f t="shared" ref="BD28" si="175">BD16/BC16-1</f>
        <v>-2.9304512550754724E-2</v>
      </c>
      <c r="BE28" s="165">
        <f t="shared" ref="BE28" si="176">BE16/BD16-1</f>
        <v>-2.9283516346539251E-2</v>
      </c>
      <c r="BF28" s="165">
        <f t="shared" ref="BF28" si="177">BF16/BE16-1</f>
        <v>-2.9261902248982063E-2</v>
      </c>
      <c r="BG28" s="165">
        <f t="shared" ref="BG28" si="178">BG16/BF16-1</f>
        <v>-2.9239653050881609E-2</v>
      </c>
      <c r="BH28" s="165">
        <f t="shared" ref="BH28" si="179">BH16/BG16-1</f>
        <v>-2.9216751125540008E-2</v>
      </c>
      <c r="BI28" s="165">
        <f t="shared" ref="BI28" si="180">BI16/BH16-1</f>
        <v>-2.9193178420241384E-2</v>
      </c>
      <c r="BJ28" s="165">
        <f t="shared" ref="BJ28" si="181">BJ16/BI16-1</f>
        <v>-2.9168916449880511E-2</v>
      </c>
      <c r="BK28" s="165">
        <f t="shared" ref="BK28" si="182">BK16/BJ16-1</f>
        <v>-2.9143946290759226E-2</v>
      </c>
      <c r="BL28" s="165">
        <f t="shared" ref="BL28" si="183">BL16/BK16-1</f>
        <v>-2.911824857457479E-2</v>
      </c>
      <c r="BM28" s="165">
        <f t="shared" ref="BM28" si="184">BM16/BL16-1</f>
        <v>-2.9091803482627299E-2</v>
      </c>
      <c r="BN28" s="165">
        <f t="shared" ref="BN28" si="185">BN16/BM16-1</f>
        <v>-2.906459074026746E-2</v>
      </c>
      <c r="BO28" s="165">
        <f t="shared" ref="BO28" si="186">BO16/BN16-1</f>
        <v>-2.9036589611613928E-2</v>
      </c>
      <c r="BP28" s="52">
        <f t="shared" ref="BP28" si="187">BP16/BO16-1</f>
        <v>-2.9007778894571845E-2</v>
      </c>
    </row>
    <row r="29" spans="1:68" x14ac:dyDescent="0.25">
      <c r="C29" s="126" t="s">
        <v>113</v>
      </c>
      <c r="D29" s="150"/>
      <c r="E29" s="153">
        <f>E16/D16-1</f>
        <v>0.37116334780655791</v>
      </c>
      <c r="F29" s="151">
        <f t="shared" ref="F29:P29" si="188">F16/E16-1</f>
        <v>-20.86197859794715</v>
      </c>
      <c r="G29" s="151">
        <f t="shared" si="188"/>
        <v>-0.88332343756872056</v>
      </c>
      <c r="H29" s="131"/>
      <c r="I29" s="152">
        <f>I16/G16-1</f>
        <v>-2.94256231447015</v>
      </c>
      <c r="J29" s="153">
        <f t="shared" si="188"/>
        <v>0.24939966526790691</v>
      </c>
      <c r="K29" s="153">
        <f t="shared" si="188"/>
        <v>0.62979285173464827</v>
      </c>
      <c r="L29" s="153">
        <f t="shared" si="188"/>
        <v>-0.40301849932697231</v>
      </c>
      <c r="M29" s="131"/>
      <c r="N29" s="152">
        <f>N16/L16-1</f>
        <v>0.55261792641072716</v>
      </c>
      <c r="O29" s="153">
        <f t="shared" si="188"/>
        <v>2.5343460436185072E-2</v>
      </c>
      <c r="P29" s="172">
        <f t="shared" si="188"/>
        <v>-0.92033390571926355</v>
      </c>
      <c r="Q29" s="173">
        <f>Q16/P16-1</f>
        <v>-3.9697923222152296</v>
      </c>
      <c r="R29" s="131"/>
      <c r="S29" s="131">
        <f>IS!$Q29*Q68</f>
        <v>0</v>
      </c>
      <c r="T29" s="128">
        <f>IS!$Q29*R68</f>
        <v>0</v>
      </c>
      <c r="U29" s="128">
        <f>IS!$Q29*S68</f>
        <v>0</v>
      </c>
      <c r="V29" s="128">
        <f>IS!$Q29*T68</f>
        <v>0</v>
      </c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68"/>
    </row>
    <row r="30" spans="1:68" x14ac:dyDescent="0.25">
      <c r="C30" s="109"/>
      <c r="D30" s="156"/>
      <c r="E30" s="36"/>
      <c r="F30" s="36"/>
      <c r="G30" s="36"/>
      <c r="H30" s="65">
        <f>SUM(IS!$D30:$G30)</f>
        <v>0</v>
      </c>
      <c r="I30" s="157"/>
      <c r="J30" s="44"/>
      <c r="K30" s="44"/>
      <c r="L30" s="44"/>
      <c r="M30" s="65">
        <f>SUM(IS!$I30:$L30)</f>
        <v>0</v>
      </c>
      <c r="N30" s="157"/>
      <c r="O30" s="44"/>
      <c r="P30" s="109"/>
      <c r="Q30" s="67"/>
      <c r="R30" s="65">
        <f>SUM(IS!$N30:$Q30)</f>
        <v>0</v>
      </c>
      <c r="S30" s="65">
        <f>IS!$Q30*Q69</f>
        <v>0</v>
      </c>
      <c r="T30" s="36"/>
      <c r="U30" s="36">
        <f>IS!$Q30*S69</f>
        <v>0</v>
      </c>
      <c r="V30" s="36">
        <f>IS!$Q30*T69</f>
        <v>0</v>
      </c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59"/>
    </row>
    <row r="31" spans="1:68" x14ac:dyDescent="0.25">
      <c r="C31" s="126" t="s">
        <v>114</v>
      </c>
      <c r="D31" s="127">
        <f t="shared" ref="D31:P31" si="189">D14-D11</f>
        <v>10032</v>
      </c>
      <c r="E31" s="128">
        <f t="shared" si="189"/>
        <v>11971</v>
      </c>
      <c r="F31" s="128">
        <f t="shared" si="189"/>
        <v>-147800</v>
      </c>
      <c r="G31" s="128">
        <f t="shared" si="189"/>
        <v>-32159</v>
      </c>
      <c r="H31" s="131">
        <f t="shared" si="189"/>
        <v>-157956</v>
      </c>
      <c r="I31" s="124">
        <f t="shared" si="189"/>
        <v>44840</v>
      </c>
      <c r="J31" s="86">
        <f>J14-J11</f>
        <v>63910</v>
      </c>
      <c r="K31" s="128">
        <f t="shared" si="189"/>
        <v>97548</v>
      </c>
      <c r="L31" s="128">
        <f t="shared" si="189"/>
        <v>58950</v>
      </c>
      <c r="M31" s="131">
        <f t="shared" si="189"/>
        <v>265248</v>
      </c>
      <c r="N31" s="124">
        <f t="shared" si="189"/>
        <v>82849</v>
      </c>
      <c r="O31" s="86">
        <f t="shared" si="189"/>
        <v>93984</v>
      </c>
      <c r="P31" s="174">
        <f t="shared" si="189"/>
        <v>-2937</v>
      </c>
      <c r="Q31" s="175">
        <f t="shared" ref="Q31" si="190">Q14-Q11</f>
        <v>-19902</v>
      </c>
      <c r="R31" s="131">
        <f>SUM(IS!$N31:$Q31)</f>
        <v>153994</v>
      </c>
      <c r="S31" s="131">
        <f>IS!$Q31*Q70</f>
        <v>0</v>
      </c>
      <c r="T31" s="151"/>
      <c r="U31" s="151">
        <f>IS!$Q31*S70</f>
        <v>0</v>
      </c>
      <c r="V31" s="151">
        <f>IS!$Q31*T70</f>
        <v>0</v>
      </c>
      <c r="W31" s="131">
        <f t="shared" ref="W31:X31" si="191">W14-W11</f>
        <v>405520.36482124991</v>
      </c>
      <c r="X31" s="131">
        <f t="shared" si="191"/>
        <v>438748.41954443743</v>
      </c>
      <c r="Y31" s="131">
        <f t="shared" ref="Y31:AA31" si="192">Y14-Y11</f>
        <v>504560.68247610307</v>
      </c>
      <c r="Z31" s="131">
        <f t="shared" si="192"/>
        <v>580244.78484751843</v>
      </c>
      <c r="AA31" s="131">
        <f t="shared" si="192"/>
        <v>667281.50257464615</v>
      </c>
      <c r="AB31" s="131">
        <f t="shared" ref="AB31:AC31" si="193">AB14-AB11</f>
        <v>767373.72796084289</v>
      </c>
      <c r="AC31" s="131">
        <f t="shared" si="193"/>
        <v>744354.51612201775</v>
      </c>
      <c r="AD31" s="131">
        <f t="shared" ref="AD31:AX31" si="194">AD14-AD11</f>
        <v>722023.94063835707</v>
      </c>
      <c r="AE31" s="131">
        <f t="shared" si="194"/>
        <v>700363.28241920634</v>
      </c>
      <c r="AF31" s="131">
        <f t="shared" si="194"/>
        <v>679352.44394663011</v>
      </c>
      <c r="AG31" s="131">
        <f t="shared" si="194"/>
        <v>658971.93062823126</v>
      </c>
      <c r="AH31" s="131">
        <f t="shared" si="194"/>
        <v>639202.83270938427</v>
      </c>
      <c r="AI31" s="131">
        <f t="shared" si="194"/>
        <v>620026.80772810278</v>
      </c>
      <c r="AJ31" s="131">
        <f t="shared" si="194"/>
        <v>601426.06349625962</v>
      </c>
      <c r="AK31" s="131">
        <f t="shared" si="194"/>
        <v>583383.34159137181</v>
      </c>
      <c r="AL31" s="131">
        <f t="shared" si="194"/>
        <v>565881.90134363063</v>
      </c>
      <c r="AM31" s="131">
        <f t="shared" si="194"/>
        <v>548905.50430332171</v>
      </c>
      <c r="AN31" s="131">
        <f t="shared" si="194"/>
        <v>532438.39917422214</v>
      </c>
      <c r="AO31" s="131">
        <f t="shared" si="194"/>
        <v>516465.30719899538</v>
      </c>
      <c r="AP31" s="131">
        <f t="shared" si="194"/>
        <v>500971.40798302542</v>
      </c>
      <c r="AQ31" s="131">
        <f t="shared" si="194"/>
        <v>485942.32574353472</v>
      </c>
      <c r="AR31" s="131">
        <f t="shared" si="194"/>
        <v>471364.11597122869</v>
      </c>
      <c r="AS31" s="131">
        <f t="shared" si="194"/>
        <v>457223.25249209185</v>
      </c>
      <c r="AT31" s="131">
        <f t="shared" si="194"/>
        <v>443506.61491732905</v>
      </c>
      <c r="AU31" s="131">
        <f t="shared" si="194"/>
        <v>430201.47646980919</v>
      </c>
      <c r="AV31" s="131">
        <f t="shared" si="194"/>
        <v>417295.49217571493</v>
      </c>
      <c r="AW31" s="131">
        <f t="shared" si="194"/>
        <v>404776.68741044344</v>
      </c>
      <c r="AX31" s="131">
        <f t="shared" si="194"/>
        <v>392633.44678813021</v>
      </c>
      <c r="AY31" s="131">
        <f t="shared" ref="AY31:BP31" si="195">AY14-AY11</f>
        <v>380854.50338448619</v>
      </c>
      <c r="AZ31" s="131">
        <f t="shared" si="195"/>
        <v>369428.92828295159</v>
      </c>
      <c r="BA31" s="131">
        <f t="shared" si="195"/>
        <v>358346.12043446314</v>
      </c>
      <c r="BB31" s="131">
        <f t="shared" si="195"/>
        <v>347595.79682142916</v>
      </c>
      <c r="BC31" s="131">
        <f t="shared" si="195"/>
        <v>337167.98291678634</v>
      </c>
      <c r="BD31" s="131">
        <f t="shared" si="195"/>
        <v>327053.00342928269</v>
      </c>
      <c r="BE31" s="131">
        <f t="shared" si="195"/>
        <v>317241.47332640423</v>
      </c>
      <c r="BF31" s="131">
        <f t="shared" si="195"/>
        <v>307724.28912661207</v>
      </c>
      <c r="BG31" s="131">
        <f t="shared" si="195"/>
        <v>298492.62045281375</v>
      </c>
      <c r="BH31" s="131">
        <f t="shared" si="195"/>
        <v>289537.90183922928</v>
      </c>
      <c r="BI31" s="131">
        <f t="shared" si="195"/>
        <v>280851.82478405238</v>
      </c>
      <c r="BJ31" s="131">
        <f t="shared" si="195"/>
        <v>272426.33004053083</v>
      </c>
      <c r="BK31" s="131">
        <f t="shared" si="195"/>
        <v>264253.60013931489</v>
      </c>
      <c r="BL31" s="131">
        <f t="shared" si="195"/>
        <v>256326.05213513545</v>
      </c>
      <c r="BM31" s="131">
        <f t="shared" si="195"/>
        <v>248636.33057108137</v>
      </c>
      <c r="BN31" s="131">
        <f t="shared" si="195"/>
        <v>241177.30065394891</v>
      </c>
      <c r="BO31" s="131">
        <f t="shared" si="195"/>
        <v>233942.04163433047</v>
      </c>
      <c r="BP31" s="168">
        <f t="shared" si="195"/>
        <v>226923.84038530051</v>
      </c>
    </row>
    <row r="32" spans="1:68" x14ac:dyDescent="0.25">
      <c r="C32" s="109" t="s">
        <v>115</v>
      </c>
      <c r="D32" s="110">
        <f>D15</f>
        <v>-3351</v>
      </c>
      <c r="E32" s="31">
        <f>E15</f>
        <v>-2810</v>
      </c>
      <c r="F32" s="31">
        <f t="shared" ref="F32:L32" si="196">F15</f>
        <v>-35492</v>
      </c>
      <c r="G32" s="31">
        <f t="shared" si="196"/>
        <v>7035</v>
      </c>
      <c r="H32" s="65">
        <f t="shared" ref="H32" si="197">H15</f>
        <v>-34618</v>
      </c>
      <c r="I32" s="114">
        <f t="shared" si="196"/>
        <v>-8537</v>
      </c>
      <c r="J32" s="34">
        <f t="shared" si="196"/>
        <v>-17946</v>
      </c>
      <c r="K32" s="31">
        <f t="shared" si="196"/>
        <v>-20796</v>
      </c>
      <c r="L32" s="31">
        <f t="shared" si="196"/>
        <v>-17669</v>
      </c>
      <c r="M32" s="65">
        <f t="shared" ref="M32" si="198">M15</f>
        <v>-64948</v>
      </c>
      <c r="N32" s="114">
        <f>N15</f>
        <v>-14650</v>
      </c>
      <c r="O32" s="34">
        <f>O15</f>
        <v>-24848</v>
      </c>
      <c r="P32" s="176">
        <f>P15</f>
        <v>-1819</v>
      </c>
      <c r="Q32" s="66">
        <f>Q15</f>
        <v>-8659</v>
      </c>
      <c r="R32" s="65">
        <f>SUM(IS!$N32:$Q32)</f>
        <v>-49976</v>
      </c>
      <c r="S32" s="65">
        <f>IS!$Q32*Q71</f>
        <v>0</v>
      </c>
      <c r="T32" s="36"/>
      <c r="U32" s="36">
        <f>IS!$Q32*S71</f>
        <v>0</v>
      </c>
      <c r="V32" s="36">
        <f>IS!$Q32*T71</f>
        <v>0</v>
      </c>
      <c r="W32" s="65">
        <f t="shared" ref="W32:X32" si="199">W15</f>
        <v>-103380.09120531248</v>
      </c>
      <c r="X32" s="65">
        <f t="shared" si="199"/>
        <v>-111687.10488610936</v>
      </c>
      <c r="Y32" s="65">
        <f t="shared" ref="Y32:AA32" si="200">Y15</f>
        <v>-128140.17061902577</v>
      </c>
      <c r="Z32" s="65">
        <f t="shared" si="200"/>
        <v>-147061.19621187961</v>
      </c>
      <c r="AA32" s="65">
        <f t="shared" si="200"/>
        <v>-168820.37564366154</v>
      </c>
      <c r="AB32" s="65">
        <f t="shared" ref="AB32:AC32" si="201">AB15</f>
        <v>-193843.43199021072</v>
      </c>
      <c r="AC32" s="65">
        <f t="shared" si="201"/>
        <v>-188088.62903050444</v>
      </c>
      <c r="AD32" s="65">
        <f t="shared" ref="AD32:AX32" si="202">AD15</f>
        <v>-182505.98515958927</v>
      </c>
      <c r="AE32" s="65">
        <f t="shared" si="202"/>
        <v>-177090.82060480159</v>
      </c>
      <c r="AF32" s="65">
        <f t="shared" si="202"/>
        <v>-171838.11098665753</v>
      </c>
      <c r="AG32" s="65">
        <f t="shared" si="202"/>
        <v>-166742.98265705782</v>
      </c>
      <c r="AH32" s="65">
        <f t="shared" si="202"/>
        <v>-161800.70817734607</v>
      </c>
      <c r="AI32" s="65">
        <f t="shared" si="202"/>
        <v>-157006.70193202569</v>
      </c>
      <c r="AJ32" s="65">
        <f t="shared" si="202"/>
        <v>-152356.51587406491</v>
      </c>
      <c r="AK32" s="65">
        <f t="shared" si="202"/>
        <v>-147845.83539784295</v>
      </c>
      <c r="AL32" s="65">
        <f t="shared" si="202"/>
        <v>-143470.47533590766</v>
      </c>
      <c r="AM32" s="65">
        <f t="shared" si="202"/>
        <v>-139226.37607583043</v>
      </c>
      <c r="AN32" s="65">
        <f t="shared" si="202"/>
        <v>-135109.59979355554</v>
      </c>
      <c r="AO32" s="65">
        <f t="shared" si="202"/>
        <v>-131116.32679974884</v>
      </c>
      <c r="AP32" s="65">
        <f t="shared" si="202"/>
        <v>-127242.85199575635</v>
      </c>
      <c r="AQ32" s="65">
        <f t="shared" si="202"/>
        <v>-123485.58143588368</v>
      </c>
      <c r="AR32" s="65">
        <f t="shared" si="202"/>
        <v>-119841.02899280717</v>
      </c>
      <c r="AS32" s="65">
        <f t="shared" si="202"/>
        <v>-116305.81312302296</v>
      </c>
      <c r="AT32" s="65">
        <f t="shared" si="202"/>
        <v>-112876.65372933226</v>
      </c>
      <c r="AU32" s="65">
        <f t="shared" si="202"/>
        <v>-109550.3691174523</v>
      </c>
      <c r="AV32" s="65">
        <f t="shared" si="202"/>
        <v>-106323.87304392873</v>
      </c>
      <c r="AW32" s="65">
        <f t="shared" si="202"/>
        <v>-103194.17185261086</v>
      </c>
      <c r="AX32" s="65">
        <f t="shared" si="202"/>
        <v>-100158.36169703255</v>
      </c>
      <c r="AY32" s="65">
        <f t="shared" ref="AY32:BP32" si="203">AY15</f>
        <v>-97213.625846121548</v>
      </c>
      <c r="AZ32" s="65">
        <f t="shared" si="203"/>
        <v>-94357.232070737897</v>
      </c>
      <c r="BA32" s="65">
        <f t="shared" si="203"/>
        <v>-91586.530108615785</v>
      </c>
      <c r="BB32" s="65">
        <f t="shared" si="203"/>
        <v>-88898.94920535729</v>
      </c>
      <c r="BC32" s="65">
        <f t="shared" si="203"/>
        <v>-86291.995729196584</v>
      </c>
      <c r="BD32" s="65">
        <f t="shared" si="203"/>
        <v>-83763.250857320672</v>
      </c>
      <c r="BE32" s="65">
        <f t="shared" si="203"/>
        <v>-81310.368331601057</v>
      </c>
      <c r="BF32" s="65">
        <f t="shared" si="203"/>
        <v>-78931.072281653018</v>
      </c>
      <c r="BG32" s="65">
        <f t="shared" si="203"/>
        <v>-76623.155113203436</v>
      </c>
      <c r="BH32" s="65">
        <f t="shared" si="203"/>
        <v>-74384.47545980732</v>
      </c>
      <c r="BI32" s="65">
        <f t="shared" si="203"/>
        <v>-72212.956196013096</v>
      </c>
      <c r="BJ32" s="65">
        <f t="shared" si="203"/>
        <v>-70106.582510132706</v>
      </c>
      <c r="BK32" s="65">
        <f t="shared" si="203"/>
        <v>-68063.400034828723</v>
      </c>
      <c r="BL32" s="65">
        <f t="shared" si="203"/>
        <v>-66081.513033783864</v>
      </c>
      <c r="BM32" s="65">
        <f t="shared" si="203"/>
        <v>-64159.082642770343</v>
      </c>
      <c r="BN32" s="65">
        <f t="shared" si="203"/>
        <v>-62294.325163487229</v>
      </c>
      <c r="BO32" s="65">
        <f t="shared" si="203"/>
        <v>-60485.510408582617</v>
      </c>
      <c r="BP32" s="50">
        <f t="shared" si="203"/>
        <v>-58730.960096325129</v>
      </c>
    </row>
    <row r="33" spans="3:68" x14ac:dyDescent="0.25">
      <c r="C33" s="126" t="s">
        <v>116</v>
      </c>
      <c r="D33" s="127">
        <f>CF!D7</f>
        <v>386</v>
      </c>
      <c r="E33" s="128">
        <f>CF!E7</f>
        <v>445</v>
      </c>
      <c r="F33" s="128">
        <f>CF!F7</f>
        <v>523</v>
      </c>
      <c r="G33" s="128">
        <f>CF!G7</f>
        <v>563</v>
      </c>
      <c r="H33" s="131">
        <f>CF!H7</f>
        <v>549</v>
      </c>
      <c r="I33" s="124">
        <f>CF!H7</f>
        <v>549</v>
      </c>
      <c r="J33" s="86">
        <f>CF!I7</f>
        <v>698</v>
      </c>
      <c r="K33" s="128">
        <f>CF!J7</f>
        <v>874</v>
      </c>
      <c r="L33" s="128">
        <f>CF!K7</f>
        <v>1105</v>
      </c>
      <c r="M33" s="131">
        <f>CF!L7</f>
        <v>1229</v>
      </c>
      <c r="N33" s="124">
        <f>CF!L7</f>
        <v>1229</v>
      </c>
      <c r="O33" s="86">
        <f>CF!M7</f>
        <v>1419</v>
      </c>
      <c r="P33" s="174">
        <f>CF!N7</f>
        <v>2240</v>
      </c>
      <c r="Q33" s="175">
        <f>$Q$40*Q5</f>
        <v>959.79525386313458</v>
      </c>
      <c r="R33" s="131">
        <f>SUM(IS!$N33:$Q33)</f>
        <v>5847.7952538631343</v>
      </c>
      <c r="S33" s="131">
        <f>IS!$Q33*Q72</f>
        <v>0</v>
      </c>
      <c r="T33" s="151"/>
      <c r="U33" s="151">
        <f>IS!$Q33*S72</f>
        <v>0</v>
      </c>
      <c r="V33" s="151">
        <f>IS!$Q33*T72</f>
        <v>0</v>
      </c>
      <c r="W33" s="131">
        <f t="shared" ref="W33:AC33" si="204">$Q$40*W5</f>
        <v>5511.5102696226541</v>
      </c>
      <c r="X33" s="131">
        <f t="shared" si="204"/>
        <v>6338.2368100660515</v>
      </c>
      <c r="Y33" s="131">
        <f t="shared" si="204"/>
        <v>7288.9723315759593</v>
      </c>
      <c r="Z33" s="131">
        <f t="shared" si="204"/>
        <v>8382.318181312352</v>
      </c>
      <c r="AA33" s="131">
        <f t="shared" si="204"/>
        <v>9639.6659085092033</v>
      </c>
      <c r="AB33" s="131">
        <f t="shared" si="204"/>
        <v>11085.615794785583</v>
      </c>
      <c r="AC33" s="131">
        <f t="shared" si="204"/>
        <v>10753.047320942014</v>
      </c>
      <c r="AD33" s="131">
        <f t="shared" ref="AD33:AX33" si="205">$Q$40*AD5</f>
        <v>10430.455901313753</v>
      </c>
      <c r="AE33" s="131">
        <f t="shared" si="205"/>
        <v>10117.542224274341</v>
      </c>
      <c r="AF33" s="131">
        <f t="shared" si="205"/>
        <v>9814.0159575461093</v>
      </c>
      <c r="AG33" s="131">
        <f t="shared" si="205"/>
        <v>9519.5954788197268</v>
      </c>
      <c r="AH33" s="131">
        <f t="shared" si="205"/>
        <v>9234.0076144551349</v>
      </c>
      <c r="AI33" s="131">
        <f t="shared" si="205"/>
        <v>8956.9873860214811</v>
      </c>
      <c r="AJ33" s="131">
        <f t="shared" si="205"/>
        <v>8688.2777644408361</v>
      </c>
      <c r="AK33" s="131">
        <f t="shared" si="205"/>
        <v>8427.6294315076102</v>
      </c>
      <c r="AL33" s="131">
        <f t="shared" si="205"/>
        <v>8174.8005485623826</v>
      </c>
      <c r="AM33" s="131">
        <f t="shared" si="205"/>
        <v>7929.556532105511</v>
      </c>
      <c r="AN33" s="131">
        <f t="shared" si="205"/>
        <v>7691.669836142346</v>
      </c>
      <c r="AO33" s="131">
        <f t="shared" si="205"/>
        <v>7460.9197410580746</v>
      </c>
      <c r="AP33" s="131">
        <f t="shared" si="205"/>
        <v>7237.0921488263311</v>
      </c>
      <c r="AQ33" s="131">
        <f t="shared" si="205"/>
        <v>7019.9793843615416</v>
      </c>
      <c r="AR33" s="131">
        <f t="shared" si="205"/>
        <v>6809.380002830696</v>
      </c>
      <c r="AS33" s="131">
        <f t="shared" si="205"/>
        <v>6605.0986027457748</v>
      </c>
      <c r="AT33" s="131">
        <f t="shared" si="205"/>
        <v>6406.9456446634013</v>
      </c>
      <c r="AU33" s="131">
        <f t="shared" si="205"/>
        <v>6214.7372753234995</v>
      </c>
      <c r="AV33" s="131">
        <f t="shared" si="205"/>
        <v>6028.2951570637942</v>
      </c>
      <c r="AW33" s="131">
        <f t="shared" si="205"/>
        <v>5847.4463023518811</v>
      </c>
      <c r="AX33" s="131">
        <f t="shared" si="205"/>
        <v>5672.0229132813238</v>
      </c>
      <c r="AY33" s="131">
        <f t="shared" ref="AY33:BP33" si="206">$Q$40*AY5</f>
        <v>5501.8622258828836</v>
      </c>
      <c r="AZ33" s="131">
        <f t="shared" si="206"/>
        <v>5336.8063591063974</v>
      </c>
      <c r="BA33" s="131">
        <f t="shared" si="206"/>
        <v>5176.7021683332059</v>
      </c>
      <c r="BB33" s="131">
        <f t="shared" si="206"/>
        <v>5021.4011032832086</v>
      </c>
      <c r="BC33" s="131">
        <f t="shared" si="206"/>
        <v>4870.759070184713</v>
      </c>
      <c r="BD33" s="131">
        <f t="shared" si="206"/>
        <v>4724.636298079171</v>
      </c>
      <c r="BE33" s="131">
        <f t="shared" si="206"/>
        <v>4582.8972091367959</v>
      </c>
      <c r="BF33" s="131">
        <f t="shared" si="206"/>
        <v>4445.4102928626917</v>
      </c>
      <c r="BG33" s="131">
        <f t="shared" si="206"/>
        <v>4312.0479840768112</v>
      </c>
      <c r="BH33" s="131">
        <f t="shared" si="206"/>
        <v>4182.6865445545063</v>
      </c>
      <c r="BI33" s="131">
        <f t="shared" si="206"/>
        <v>4057.2059482178711</v>
      </c>
      <c r="BJ33" s="131">
        <f t="shared" si="206"/>
        <v>3935.489769771335</v>
      </c>
      <c r="BK33" s="131">
        <f t="shared" si="206"/>
        <v>3817.4250766781947</v>
      </c>
      <c r="BL33" s="131">
        <f t="shared" si="206"/>
        <v>3702.9023243778488</v>
      </c>
      <c r="BM33" s="131">
        <f t="shared" si="206"/>
        <v>3591.8152546465135</v>
      </c>
      <c r="BN33" s="131">
        <f t="shared" si="206"/>
        <v>3484.0607970071178</v>
      </c>
      <c r="BO33" s="131">
        <f t="shared" si="206"/>
        <v>3379.5389730969041</v>
      </c>
      <c r="BP33" s="168">
        <f t="shared" si="206"/>
        <v>3278.1528039039972</v>
      </c>
    </row>
    <row r="34" spans="3:68" x14ac:dyDescent="0.25">
      <c r="C34" s="109" t="s">
        <v>117</v>
      </c>
      <c r="D34" s="110">
        <f>CF!D35</f>
        <v>-742</v>
      </c>
      <c r="E34" s="31">
        <f>CF!E35</f>
        <v>-1714</v>
      </c>
      <c r="F34" s="31">
        <f>CF!F35</f>
        <v>-1021</v>
      </c>
      <c r="G34" s="31">
        <f>CF!G35</f>
        <v>0</v>
      </c>
      <c r="H34" s="65">
        <f>CF!H35</f>
        <v>-2253</v>
      </c>
      <c r="I34" s="114">
        <f>CF!H35</f>
        <v>-2253</v>
      </c>
      <c r="J34" s="34">
        <f>CF!I35</f>
        <v>-4557</v>
      </c>
      <c r="K34" s="31">
        <f>CF!J35</f>
        <v>-5877</v>
      </c>
      <c r="L34" s="176">
        <f>CF!K35</f>
        <v>-4746</v>
      </c>
      <c r="M34" s="65">
        <f>CF!L35</f>
        <v>-4525</v>
      </c>
      <c r="N34" s="114">
        <f>CF!L35</f>
        <v>-4525</v>
      </c>
      <c r="O34" s="34">
        <f>CF!M35</f>
        <v>-9214</v>
      </c>
      <c r="P34" s="176">
        <f>CF!N35</f>
        <v>-4244</v>
      </c>
      <c r="Q34" s="66">
        <f>-$Q$41*Q5</f>
        <v>-3696.8293598234</v>
      </c>
      <c r="R34" s="65">
        <f>SUM(IS!$N34:$Q34)</f>
        <v>-21679.829359823401</v>
      </c>
      <c r="S34" s="65">
        <f>IS!$Q34*Q73</f>
        <v>0</v>
      </c>
      <c r="T34" s="36"/>
      <c r="U34" s="36">
        <f>IS!$Q34*S73</f>
        <v>0</v>
      </c>
      <c r="V34" s="36">
        <f>IS!$Q34*T73</f>
        <v>0</v>
      </c>
      <c r="W34" s="65">
        <f t="shared" ref="W34:AC34" si="207">-$Q$41*W5</f>
        <v>-21228.603600299393</v>
      </c>
      <c r="X34" s="65">
        <f t="shared" si="207"/>
        <v>-24412.894140344299</v>
      </c>
      <c r="Y34" s="65">
        <f t="shared" si="207"/>
        <v>-28074.828261395942</v>
      </c>
      <c r="Z34" s="65">
        <f t="shared" si="207"/>
        <v>-32286.052500605332</v>
      </c>
      <c r="AA34" s="65">
        <f t="shared" si="207"/>
        <v>-37128.96037569613</v>
      </c>
      <c r="AB34" s="65">
        <f t="shared" si="207"/>
        <v>-42698.304432050543</v>
      </c>
      <c r="AC34" s="65">
        <f t="shared" si="207"/>
        <v>-41417.355299089024</v>
      </c>
      <c r="AD34" s="65">
        <f t="shared" ref="AD34:AX34" si="208">-$Q$41*AD5</f>
        <v>-40174.834640116351</v>
      </c>
      <c r="AE34" s="65">
        <f t="shared" si="208"/>
        <v>-38969.589600912856</v>
      </c>
      <c r="AF34" s="65">
        <f t="shared" si="208"/>
        <v>-37800.501912885469</v>
      </c>
      <c r="AG34" s="65">
        <f t="shared" si="208"/>
        <v>-36666.486855498908</v>
      </c>
      <c r="AH34" s="65">
        <f t="shared" si="208"/>
        <v>-35566.492249833937</v>
      </c>
      <c r="AI34" s="65">
        <f t="shared" si="208"/>
        <v>-34499.49748233892</v>
      </c>
      <c r="AJ34" s="65">
        <f t="shared" si="208"/>
        <v>-33464.512557868751</v>
      </c>
      <c r="AK34" s="65">
        <f t="shared" si="208"/>
        <v>-32460.577181132689</v>
      </c>
      <c r="AL34" s="65">
        <f t="shared" si="208"/>
        <v>-31486.759865698707</v>
      </c>
      <c r="AM34" s="65">
        <f t="shared" si="208"/>
        <v>-30542.157069727746</v>
      </c>
      <c r="AN34" s="65">
        <f t="shared" si="208"/>
        <v>-29625.892357635912</v>
      </c>
      <c r="AO34" s="65">
        <f t="shared" si="208"/>
        <v>-28737.115586906832</v>
      </c>
      <c r="AP34" s="65">
        <f t="shared" si="208"/>
        <v>-27875.002119299625</v>
      </c>
      <c r="AQ34" s="65">
        <f t="shared" si="208"/>
        <v>-27038.752055720637</v>
      </c>
      <c r="AR34" s="65">
        <f t="shared" si="208"/>
        <v>-26227.589494049018</v>
      </c>
      <c r="AS34" s="65">
        <f t="shared" si="208"/>
        <v>-25440.761809227548</v>
      </c>
      <c r="AT34" s="65">
        <f t="shared" si="208"/>
        <v>-24677.538954950724</v>
      </c>
      <c r="AU34" s="65">
        <f t="shared" si="208"/>
        <v>-23937.2127863022</v>
      </c>
      <c r="AV34" s="65">
        <f t="shared" si="208"/>
        <v>-23219.096402713134</v>
      </c>
      <c r="AW34" s="65">
        <f t="shared" si="208"/>
        <v>-22522.523510631741</v>
      </c>
      <c r="AX34" s="65">
        <f t="shared" si="208"/>
        <v>-21846.847805312787</v>
      </c>
      <c r="AY34" s="65">
        <f t="shared" ref="AY34:BP34" si="209">-$Q$41*AY5</f>
        <v>-21191.442371153404</v>
      </c>
      <c r="AZ34" s="65">
        <f t="shared" si="209"/>
        <v>-20555.699100018799</v>
      </c>
      <c r="BA34" s="65">
        <f t="shared" si="209"/>
        <v>-19939.028127018235</v>
      </c>
      <c r="BB34" s="65">
        <f t="shared" si="209"/>
        <v>-19340.85728320769</v>
      </c>
      <c r="BC34" s="65">
        <f t="shared" si="209"/>
        <v>-18760.631564711457</v>
      </c>
      <c r="BD34" s="65">
        <f t="shared" si="209"/>
        <v>-18197.812617770112</v>
      </c>
      <c r="BE34" s="65">
        <f t="shared" si="209"/>
        <v>-17651.878239237009</v>
      </c>
      <c r="BF34" s="65">
        <f t="shared" si="209"/>
        <v>-17122.321892059899</v>
      </c>
      <c r="BG34" s="65">
        <f t="shared" si="209"/>
        <v>-16608.652235298101</v>
      </c>
      <c r="BH34" s="65">
        <f t="shared" si="209"/>
        <v>-16110.392668239158</v>
      </c>
      <c r="BI34" s="65">
        <f t="shared" si="209"/>
        <v>-15627.080888191982</v>
      </c>
      <c r="BJ34" s="65">
        <f t="shared" si="209"/>
        <v>-15158.268461546222</v>
      </c>
      <c r="BK34" s="65">
        <f t="shared" si="209"/>
        <v>-14703.520407699834</v>
      </c>
      <c r="BL34" s="65">
        <f t="shared" si="209"/>
        <v>-14262.41479546884</v>
      </c>
      <c r="BM34" s="65">
        <f t="shared" si="209"/>
        <v>-13834.542351604774</v>
      </c>
      <c r="BN34" s="65">
        <f t="shared" si="209"/>
        <v>-13419.506081056632</v>
      </c>
      <c r="BO34" s="65">
        <f t="shared" si="209"/>
        <v>-13016.920898624932</v>
      </c>
      <c r="BP34" s="50">
        <f t="shared" si="209"/>
        <v>-12626.413271666184</v>
      </c>
    </row>
    <row r="35" spans="3:68" ht="15.75" thickBot="1" x14ac:dyDescent="0.3">
      <c r="C35" s="126" t="s">
        <v>118</v>
      </c>
      <c r="D35" s="127">
        <f>CF!D17</f>
        <v>-7947</v>
      </c>
      <c r="E35" s="174">
        <f>CF!E17</f>
        <v>22586</v>
      </c>
      <c r="F35" s="174">
        <f>CF!F17</f>
        <v>267889</v>
      </c>
      <c r="G35" s="174">
        <f>CF!G17</f>
        <v>-47120</v>
      </c>
      <c r="H35" s="131">
        <f>CF!H17</f>
        <v>-70096</v>
      </c>
      <c r="I35" s="124">
        <f>CF!H17</f>
        <v>-70096</v>
      </c>
      <c r="J35" s="177">
        <f>CF!I17</f>
        <v>46467</v>
      </c>
      <c r="K35" s="174">
        <f>CF!J17</f>
        <v>-6652</v>
      </c>
      <c r="L35" s="174">
        <f>CF!K17</f>
        <v>-62707</v>
      </c>
      <c r="M35" s="131">
        <f>CF!L17</f>
        <v>37068</v>
      </c>
      <c r="N35" s="124">
        <f>CF!L17</f>
        <v>37068</v>
      </c>
      <c r="O35" s="177">
        <f>CF!M17</f>
        <v>-60791</v>
      </c>
      <c r="P35" s="174">
        <f>CF!N17</f>
        <v>-8773</v>
      </c>
      <c r="Q35" s="175">
        <f>Q5*$Q$39</f>
        <v>-10966.64614973584</v>
      </c>
      <c r="R35" s="131">
        <f>SUM(IS!$N35:$Q35)</f>
        <v>-43462.64614973584</v>
      </c>
      <c r="S35" s="131">
        <f>IS!$Q35*Q74</f>
        <v>0</v>
      </c>
      <c r="T35" s="151"/>
      <c r="U35" s="151">
        <f>IS!$Q35*S74</f>
        <v>0</v>
      </c>
      <c r="V35" s="151">
        <f>IS!$Q35*T74</f>
        <v>0</v>
      </c>
      <c r="W35" s="131">
        <f t="shared" ref="W35:AC35" si="210">W5*$Q$39</f>
        <v>-62974.663225627773</v>
      </c>
      <c r="X35" s="131">
        <f t="shared" si="210"/>
        <v>-72420.862709471927</v>
      </c>
      <c r="Y35" s="131">
        <f t="shared" si="210"/>
        <v>-83283.992115892717</v>
      </c>
      <c r="Z35" s="131">
        <f t="shared" si="210"/>
        <v>-95776.590933276617</v>
      </c>
      <c r="AA35" s="131">
        <f t="shared" si="210"/>
        <v>-110143.07957326809</v>
      </c>
      <c r="AB35" s="131">
        <f t="shared" si="210"/>
        <v>-126664.54150925828</v>
      </c>
      <c r="AC35" s="131">
        <f t="shared" si="210"/>
        <v>-122864.60526398054</v>
      </c>
      <c r="AD35" s="131">
        <f t="shared" ref="AD35:AX35" si="211">AD5*$Q$39</f>
        <v>-119178.66710606111</v>
      </c>
      <c r="AE35" s="131">
        <f t="shared" si="211"/>
        <v>-115603.30709287927</v>
      </c>
      <c r="AF35" s="131">
        <f t="shared" si="211"/>
        <v>-112135.20788009289</v>
      </c>
      <c r="AG35" s="131">
        <f t="shared" si="211"/>
        <v>-108771.1516436901</v>
      </c>
      <c r="AH35" s="131">
        <f t="shared" si="211"/>
        <v>-105508.01709437941</v>
      </c>
      <c r="AI35" s="131">
        <f t="shared" si="211"/>
        <v>-102342.77658154802</v>
      </c>
      <c r="AJ35" s="131">
        <f t="shared" si="211"/>
        <v>-99272.493284101569</v>
      </c>
      <c r="AK35" s="131">
        <f t="shared" si="211"/>
        <v>-96294.318485578522</v>
      </c>
      <c r="AL35" s="131">
        <f t="shared" si="211"/>
        <v>-93405.488931011161</v>
      </c>
      <c r="AM35" s="131">
        <f t="shared" si="211"/>
        <v>-90603.324263080824</v>
      </c>
      <c r="AN35" s="131">
        <f t="shared" si="211"/>
        <v>-87885.224535188405</v>
      </c>
      <c r="AO35" s="131">
        <f t="shared" si="211"/>
        <v>-85248.667799132745</v>
      </c>
      <c r="AP35" s="131">
        <f t="shared" si="211"/>
        <v>-82691.207765158761</v>
      </c>
      <c r="AQ35" s="131">
        <f t="shared" si="211"/>
        <v>-80210.471532203999</v>
      </c>
      <c r="AR35" s="131">
        <f t="shared" si="211"/>
        <v>-77804.157386237872</v>
      </c>
      <c r="AS35" s="131">
        <f t="shared" si="211"/>
        <v>-75470.032664650746</v>
      </c>
      <c r="AT35" s="131">
        <f t="shared" si="211"/>
        <v>-73205.93168471122</v>
      </c>
      <c r="AU35" s="131">
        <f t="shared" si="211"/>
        <v>-71009.753734169877</v>
      </c>
      <c r="AV35" s="131">
        <f t="shared" si="211"/>
        <v>-68879.461122144785</v>
      </c>
      <c r="AW35" s="131">
        <f t="shared" si="211"/>
        <v>-66813.077288480446</v>
      </c>
      <c r="AX35" s="131">
        <f t="shared" si="211"/>
        <v>-64808.684969826027</v>
      </c>
      <c r="AY35" s="131">
        <f t="shared" ref="AY35:BP35" si="212">AY5*$Q$39</f>
        <v>-62864.424420731244</v>
      </c>
      <c r="AZ35" s="131">
        <f t="shared" si="212"/>
        <v>-60978.491688109301</v>
      </c>
      <c r="BA35" s="131">
        <f t="shared" si="212"/>
        <v>-59149.136937466021</v>
      </c>
      <c r="BB35" s="131">
        <f t="shared" si="212"/>
        <v>-57374.662829342044</v>
      </c>
      <c r="BC35" s="131">
        <f t="shared" si="212"/>
        <v>-55653.422944461781</v>
      </c>
      <c r="BD35" s="131">
        <f t="shared" si="212"/>
        <v>-53983.820256127925</v>
      </c>
      <c r="BE35" s="131">
        <f t="shared" si="212"/>
        <v>-52364.305648444089</v>
      </c>
      <c r="BF35" s="131">
        <f t="shared" si="212"/>
        <v>-50793.376478990758</v>
      </c>
      <c r="BG35" s="131">
        <f t="shared" si="212"/>
        <v>-49269.575184621041</v>
      </c>
      <c r="BH35" s="131">
        <f t="shared" si="212"/>
        <v>-47791.487929082403</v>
      </c>
      <c r="BI35" s="131">
        <f t="shared" si="212"/>
        <v>-46357.743291209932</v>
      </c>
      <c r="BJ35" s="131">
        <f t="shared" si="212"/>
        <v>-44967.010992473632</v>
      </c>
      <c r="BK35" s="131">
        <f t="shared" si="212"/>
        <v>-43618.000662699422</v>
      </c>
      <c r="BL35" s="131">
        <f t="shared" si="212"/>
        <v>-42309.460642818434</v>
      </c>
      <c r="BM35" s="131">
        <f t="shared" si="212"/>
        <v>-41040.176823533882</v>
      </c>
      <c r="BN35" s="131">
        <f t="shared" si="212"/>
        <v>-39808.971518827864</v>
      </c>
      <c r="BO35" s="131">
        <f t="shared" si="212"/>
        <v>-38614.702373263026</v>
      </c>
      <c r="BP35" s="168">
        <f t="shared" si="212"/>
        <v>-37456.261302065141</v>
      </c>
    </row>
    <row r="36" spans="3:68" ht="15.75" thickTop="1" x14ac:dyDescent="0.25">
      <c r="C36" s="109" t="s">
        <v>119</v>
      </c>
      <c r="D36" s="178">
        <f>D31+D32+D33+D34-D35</f>
        <v>14272</v>
      </c>
      <c r="E36" s="68">
        <f>E31+E32+E33+E34-E35</f>
        <v>-14694</v>
      </c>
      <c r="F36" s="68">
        <f t="shared" ref="F36:P36" si="213">F31+F32+F33+F34-F35</f>
        <v>-451679</v>
      </c>
      <c r="G36" s="68">
        <f t="shared" si="213"/>
        <v>22559</v>
      </c>
      <c r="H36" s="179">
        <f t="shared" si="213"/>
        <v>-124182</v>
      </c>
      <c r="I36" s="180">
        <f>I31+I32+I33+I34-I35</f>
        <v>104695</v>
      </c>
      <c r="J36" s="181">
        <f t="shared" si="213"/>
        <v>-4362</v>
      </c>
      <c r="K36" s="68">
        <f t="shared" si="213"/>
        <v>78401</v>
      </c>
      <c r="L36" s="68">
        <f t="shared" si="213"/>
        <v>100347</v>
      </c>
      <c r="M36" s="179">
        <f t="shared" si="213"/>
        <v>159936</v>
      </c>
      <c r="N36" s="180">
        <f t="shared" si="213"/>
        <v>27835</v>
      </c>
      <c r="O36" s="181">
        <f t="shared" si="213"/>
        <v>122132</v>
      </c>
      <c r="P36" s="68">
        <f t="shared" si="213"/>
        <v>2013</v>
      </c>
      <c r="Q36" s="182">
        <f t="shared" ref="Q36" si="214">Q31+Q32+Q33+Q34-Q35</f>
        <v>-20331.387956224426</v>
      </c>
      <c r="R36" s="179">
        <f>R31+R32+R33+R34-R35</f>
        <v>131648.61204377556</v>
      </c>
      <c r="S36" s="65">
        <f>IS!$Q36*Q75</f>
        <v>0</v>
      </c>
      <c r="T36" s="36"/>
      <c r="U36" s="36">
        <f>IS!$Q36*S75</f>
        <v>0</v>
      </c>
      <c r="V36" s="36">
        <f>IS!$Q36*T75</f>
        <v>0</v>
      </c>
      <c r="W36" s="179">
        <f t="shared" ref="W36:X36" si="215">W31+W32+W33+W34-W35</f>
        <v>349397.84351088852</v>
      </c>
      <c r="X36" s="179">
        <f t="shared" si="215"/>
        <v>381407.52003752172</v>
      </c>
      <c r="Y36" s="179">
        <f t="shared" ref="Y36:AA36" si="216">Y31+Y32+Y33+Y34-Y35</f>
        <v>438918.64804315002</v>
      </c>
      <c r="Z36" s="179">
        <f t="shared" si="216"/>
        <v>505056.44524962245</v>
      </c>
      <c r="AA36" s="179">
        <f t="shared" si="216"/>
        <v>581114.91203706583</v>
      </c>
      <c r="AB36" s="179">
        <f t="shared" ref="AB36:AC36" si="217">AB31+AB32+AB33+AB34-AB35</f>
        <v>668582.14884262555</v>
      </c>
      <c r="AC36" s="179">
        <f t="shared" si="217"/>
        <v>648466.18437734689</v>
      </c>
      <c r="AD36" s="179">
        <f t="shared" ref="AD36:AX36" si="218">AD31+AD32+AD33+AD34-AD35</f>
        <v>628952.24384602637</v>
      </c>
      <c r="AE36" s="179">
        <f t="shared" si="218"/>
        <v>610023.7215306455</v>
      </c>
      <c r="AF36" s="179">
        <f t="shared" si="218"/>
        <v>591663.05488472607</v>
      </c>
      <c r="AG36" s="179">
        <f t="shared" si="218"/>
        <v>573853.20823818434</v>
      </c>
      <c r="AH36" s="179">
        <f t="shared" si="218"/>
        <v>556577.65699103882</v>
      </c>
      <c r="AI36" s="179">
        <f t="shared" si="218"/>
        <v>539820.37228130759</v>
      </c>
      <c r="AJ36" s="179">
        <f t="shared" si="218"/>
        <v>523565.80611286848</v>
      </c>
      <c r="AK36" s="179">
        <f t="shared" si="218"/>
        <v>507798.87692948233</v>
      </c>
      <c r="AL36" s="179">
        <f t="shared" si="218"/>
        <v>492504.95562159782</v>
      </c>
      <c r="AM36" s="179">
        <f t="shared" si="218"/>
        <v>477669.85195294989</v>
      </c>
      <c r="AN36" s="179">
        <f t="shared" si="218"/>
        <v>463279.80139436142</v>
      </c>
      <c r="AO36" s="179">
        <f t="shared" si="218"/>
        <v>449321.45235253056</v>
      </c>
      <c r="AP36" s="179">
        <f t="shared" si="218"/>
        <v>435781.8537819545</v>
      </c>
      <c r="AQ36" s="179">
        <f t="shared" si="218"/>
        <v>422648.44316849596</v>
      </c>
      <c r="AR36" s="179">
        <f t="shared" si="218"/>
        <v>409909.03487344109</v>
      </c>
      <c r="AS36" s="179">
        <f t="shared" si="218"/>
        <v>397551.80882723792</v>
      </c>
      <c r="AT36" s="179">
        <f t="shared" si="218"/>
        <v>385565.2995624207</v>
      </c>
      <c r="AU36" s="179">
        <f t="shared" si="218"/>
        <v>373938.38557554805</v>
      </c>
      <c r="AV36" s="179">
        <f t="shared" si="218"/>
        <v>362660.27900828159</v>
      </c>
      <c r="AW36" s="179">
        <f t="shared" si="218"/>
        <v>351720.51563803316</v>
      </c>
      <c r="AX36" s="179">
        <f t="shared" si="218"/>
        <v>341108.94516889221</v>
      </c>
      <c r="AY36" s="179">
        <f t="shared" ref="AY36:BP36" si="219">AY31+AY32+AY33+AY34-AY35</f>
        <v>330815.72181382537</v>
      </c>
      <c r="AZ36" s="179">
        <f t="shared" si="219"/>
        <v>320831.29515941063</v>
      </c>
      <c r="BA36" s="179">
        <f t="shared" si="219"/>
        <v>311146.40130462841</v>
      </c>
      <c r="BB36" s="179">
        <f t="shared" si="219"/>
        <v>301752.05426548945</v>
      </c>
      <c r="BC36" s="179">
        <f t="shared" si="219"/>
        <v>292639.53763752477</v>
      </c>
      <c r="BD36" s="179">
        <f t="shared" si="219"/>
        <v>283800.39650839899</v>
      </c>
      <c r="BE36" s="179">
        <f t="shared" si="219"/>
        <v>275226.42961314705</v>
      </c>
      <c r="BF36" s="179">
        <f t="shared" si="219"/>
        <v>266909.68172475259</v>
      </c>
      <c r="BG36" s="179">
        <f t="shared" si="219"/>
        <v>258842.43627301004</v>
      </c>
      <c r="BH36" s="179">
        <f t="shared" si="219"/>
        <v>251017.20818481973</v>
      </c>
      <c r="BI36" s="179">
        <f t="shared" si="219"/>
        <v>243426.73693927511</v>
      </c>
      <c r="BJ36" s="179">
        <f t="shared" si="219"/>
        <v>236063.97983109689</v>
      </c>
      <c r="BK36" s="179">
        <f t="shared" si="219"/>
        <v>228922.10543616395</v>
      </c>
      <c r="BL36" s="179">
        <f t="shared" si="219"/>
        <v>221994.48727307899</v>
      </c>
      <c r="BM36" s="179">
        <f t="shared" si="219"/>
        <v>215274.69765488664</v>
      </c>
      <c r="BN36" s="179">
        <f t="shared" si="219"/>
        <v>208756.50172524003</v>
      </c>
      <c r="BO36" s="179">
        <f t="shared" si="219"/>
        <v>202433.85167348283</v>
      </c>
      <c r="BP36" s="62">
        <f t="shared" si="219"/>
        <v>196300.88112327832</v>
      </c>
    </row>
    <row r="37" spans="3:68" x14ac:dyDescent="0.25">
      <c r="C37" s="183"/>
      <c r="D37" s="184"/>
      <c r="E37" s="183"/>
      <c r="F37" s="183"/>
      <c r="G37" s="183"/>
      <c r="H37" s="185"/>
      <c r="I37" s="186"/>
      <c r="J37" s="187"/>
      <c r="K37" s="187"/>
      <c r="L37" s="187"/>
      <c r="M37" s="185"/>
      <c r="N37" s="186"/>
      <c r="O37" s="187"/>
      <c r="P37" s="183"/>
      <c r="Q37" s="188"/>
      <c r="R37" s="185"/>
      <c r="S37" s="185"/>
      <c r="T37" s="183"/>
      <c r="U37" s="183"/>
      <c r="V37" s="183"/>
      <c r="W37" s="189">
        <f t="shared" ref="W37:BP37" si="220">W36/(1+wacc)^W3</f>
        <v>317974.8313916226</v>
      </c>
      <c r="X37" s="189">
        <f t="shared" si="220"/>
        <v>315888.85424972471</v>
      </c>
      <c r="Y37" s="189">
        <f t="shared" si="220"/>
        <v>330827.50481868832</v>
      </c>
      <c r="Z37" s="189">
        <f t="shared" si="220"/>
        <v>346441.58733942732</v>
      </c>
      <c r="AA37" s="189">
        <f t="shared" si="220"/>
        <v>362764.388987699</v>
      </c>
      <c r="AB37" s="189">
        <f t="shared" si="220"/>
        <v>379830.58280701243</v>
      </c>
      <c r="AC37" s="189">
        <f t="shared" si="220"/>
        <v>335270.24552455283</v>
      </c>
      <c r="AD37" s="189">
        <f t="shared" si="220"/>
        <v>295936.05154536886</v>
      </c>
      <c r="AE37" s="189">
        <f t="shared" si="220"/>
        <v>261215.8065167293</v>
      </c>
      <c r="AF37" s="189">
        <f t="shared" si="220"/>
        <v>230568.35802739297</v>
      </c>
      <c r="AG37" s="189">
        <f t="shared" si="220"/>
        <v>203516.01712021878</v>
      </c>
      <c r="AH37" s="189">
        <f t="shared" si="220"/>
        <v>179637.11619947478</v>
      </c>
      <c r="AI37" s="189">
        <f t="shared" si="220"/>
        <v>158559.43959065786</v>
      </c>
      <c r="AJ37" s="189">
        <f t="shared" si="220"/>
        <v>139954.4244309791</v>
      </c>
      <c r="AK37" s="189">
        <f t="shared" si="220"/>
        <v>123532.0415658897</v>
      </c>
      <c r="AL37" s="189">
        <f t="shared" si="220"/>
        <v>109036.27671760797</v>
      </c>
      <c r="AM37" s="189">
        <f t="shared" si="220"/>
        <v>96241.141540474724</v>
      </c>
      <c r="AN37" s="189">
        <f t="shared" si="220"/>
        <v>84947.152430705901</v>
      </c>
      <c r="AO37" s="189">
        <f t="shared" si="220"/>
        <v>74978.222243231678</v>
      </c>
      <c r="AP37" s="189">
        <f t="shared" si="220"/>
        <v>66178.916499270417</v>
      </c>
      <c r="AQ37" s="189">
        <f t="shared" si="220"/>
        <v>58412.031345221258</v>
      </c>
      <c r="AR37" s="189">
        <f t="shared" si="220"/>
        <v>51556.45553478285</v>
      </c>
      <c r="AS37" s="189">
        <f t="shared" si="220"/>
        <v>45505.283129955198</v>
      </c>
      <c r="AT37" s="189">
        <f t="shared" si="220"/>
        <v>40164.147521647967</v>
      </c>
      <c r="AU37" s="189">
        <f t="shared" si="220"/>
        <v>35449.750817817046</v>
      </c>
      <c r="AV37" s="189">
        <f t="shared" si="220"/>
        <v>31288.565690063158</v>
      </c>
      <c r="AW37" s="189">
        <f t="shared" si="220"/>
        <v>27615.689455843945</v>
      </c>
      <c r="AX37" s="189">
        <f t="shared" si="220"/>
        <v>24373.83254470539</v>
      </c>
      <c r="AY37" s="189">
        <f t="shared" si="220"/>
        <v>21512.425590159623</v>
      </c>
      <c r="AZ37" s="189">
        <f t="shared" si="220"/>
        <v>18986.83123662286</v>
      </c>
      <c r="BA37" s="189">
        <f t="shared" si="220"/>
        <v>16757.648381955689</v>
      </c>
      <c r="BB37" s="189">
        <f t="shared" si="220"/>
        <v>14790.098016022013</v>
      </c>
      <c r="BC37" s="189">
        <f t="shared" si="220"/>
        <v>13053.481086726171</v>
      </c>
      <c r="BD37" s="189">
        <f t="shared" si="220"/>
        <v>11520.69994699609</v>
      </c>
      <c r="BE37" s="189">
        <f t="shared" si="220"/>
        <v>10167.835926627988</v>
      </c>
      <c r="BF37" s="189">
        <f t="shared" si="220"/>
        <v>8973.7764472204763</v>
      </c>
      <c r="BG37" s="189">
        <f t="shared" si="220"/>
        <v>7919.8858702202369</v>
      </c>
      <c r="BH37" s="183">
        <f t="shared" si="220"/>
        <v>6989.7149493977249</v>
      </c>
      <c r="BI37" s="183">
        <f t="shared" si="220"/>
        <v>6168.7443604811206</v>
      </c>
      <c r="BJ37" s="183">
        <f t="shared" si="220"/>
        <v>5444.1583115664143</v>
      </c>
      <c r="BK37" s="183">
        <f t="shared" si="220"/>
        <v>4804.6447065601233</v>
      </c>
      <c r="BL37" s="183">
        <f t="shared" si="220"/>
        <v>4240.2187475975943</v>
      </c>
      <c r="BM37" s="183">
        <f t="shared" si="220"/>
        <v>3742.0672275575789</v>
      </c>
      <c r="BN37" s="183">
        <f t="shared" si="220"/>
        <v>3302.4110861507038</v>
      </c>
      <c r="BO37" s="183">
        <f t="shared" si="220"/>
        <v>2914.3840876164159</v>
      </c>
      <c r="BP37" s="183">
        <f t="shared" si="220"/>
        <v>2571.9257292522634</v>
      </c>
    </row>
    <row r="38" spans="3:68" x14ac:dyDescent="0.25">
      <c r="P38" s="54"/>
      <c r="R38" s="1">
        <v>0.15</v>
      </c>
      <c r="AA38" t="s">
        <v>209</v>
      </c>
      <c r="AB38" s="10">
        <f>SUM(IS!$AC$37:$BP$37)</f>
        <v>2837797.9177013244</v>
      </c>
    </row>
    <row r="39" spans="3:68" x14ac:dyDescent="0.25">
      <c r="C39" s="22" t="s">
        <v>120</v>
      </c>
      <c r="D39" s="1">
        <f t="shared" ref="D39:P39" si="221">D35/D5</f>
        <v>-5.9578072990074067E-2</v>
      </c>
      <c r="E39" s="1">
        <f t="shared" si="221"/>
        <v>0.14664329307882093</v>
      </c>
      <c r="F39" s="1">
        <f t="shared" si="221"/>
        <v>1.4231776574777004</v>
      </c>
      <c r="G39" s="1">
        <f t="shared" si="221"/>
        <v>-0.26477413844450814</v>
      </c>
      <c r="H39" s="1">
        <f t="shared" si="221"/>
        <v>-0.10724536569543638</v>
      </c>
      <c r="I39" s="1">
        <f t="shared" si="221"/>
        <v>-0.26966326715113931</v>
      </c>
      <c r="J39" s="1">
        <f t="shared" si="221"/>
        <v>0.14258798403107864</v>
      </c>
      <c r="K39" s="1">
        <f t="shared" si="221"/>
        <v>-1.7288834251228697E-2</v>
      </c>
      <c r="L39" s="1">
        <f t="shared" si="221"/>
        <v>-0.18048555844978198</v>
      </c>
      <c r="M39" s="1">
        <f t="shared" si="221"/>
        <v>2.8124132217108466E-2</v>
      </c>
      <c r="N39" s="1">
        <f t="shared" si="221"/>
        <v>0.10420907036108269</v>
      </c>
      <c r="O39" s="1">
        <f t="shared" si="221"/>
        <v>-0.15123004550011568</v>
      </c>
      <c r="P39" s="55">
        <f t="shared" si="221"/>
        <v>-3.3012477986664054E-2</v>
      </c>
      <c r="Q39" s="1">
        <f>MEDIAN(D39:P39)</f>
        <v>-3.3012477986664054E-2</v>
      </c>
      <c r="R39" s="1">
        <f>MEDIAN(E39:Q39)</f>
        <v>-3.3012477986664054E-2</v>
      </c>
      <c r="T39" s="1"/>
      <c r="V39" s="19">
        <f>NPV(wacc,IS!W16:AX16)</f>
        <v>4132368.7525746934</v>
      </c>
      <c r="Y39" t="s">
        <v>121</v>
      </c>
      <c r="Z39" s="1">
        <v>0.15</v>
      </c>
      <c r="AA39" t="s">
        <v>122</v>
      </c>
      <c r="AB39" s="69">
        <f>(AB36*(1+tgr))/(wacc-tgr)</f>
        <v>5034256.9468530249</v>
      </c>
    </row>
    <row r="40" spans="3:68" x14ac:dyDescent="0.25">
      <c r="C40" s="22" t="s">
        <v>123</v>
      </c>
      <c r="D40" s="1">
        <f t="shared" ref="D40:P40" si="222">D33/D5</f>
        <v>2.8938135364500557E-3</v>
      </c>
      <c r="E40" s="1">
        <f t="shared" si="222"/>
        <v>2.8892351642643812E-3</v>
      </c>
      <c r="F40" s="1">
        <f t="shared" si="222"/>
        <v>2.7784713626197318E-3</v>
      </c>
      <c r="G40" s="1">
        <f t="shared" si="222"/>
        <v>3.1635789461854432E-3</v>
      </c>
      <c r="H40" s="1">
        <f t="shared" si="222"/>
        <v>8.3995813979106612E-4</v>
      </c>
      <c r="I40" s="1">
        <f t="shared" si="222"/>
        <v>2.1120339772023435E-3</v>
      </c>
      <c r="J40" s="1">
        <f t="shared" si="222"/>
        <v>2.1418730035012564E-3</v>
      </c>
      <c r="K40" s="1">
        <f t="shared" si="222"/>
        <v>2.2715636102786955E-3</v>
      </c>
      <c r="L40" s="1">
        <f t="shared" si="222"/>
        <v>3.1804510196151796E-3</v>
      </c>
      <c r="M40" s="1">
        <f t="shared" si="222"/>
        <v>9.3246353984100319E-4</v>
      </c>
      <c r="N40" s="1">
        <f t="shared" si="222"/>
        <v>3.4550811339638132E-3</v>
      </c>
      <c r="O40" s="1">
        <f t="shared" si="222"/>
        <v>3.5300527144587874E-3</v>
      </c>
      <c r="P40" s="55">
        <f t="shared" si="222"/>
        <v>8.4290380360341373E-3</v>
      </c>
      <c r="Q40" s="61">
        <f t="shared" ref="Q40:T43" si="223">MEDIAN(D40:P40)</f>
        <v>2.8892351642643812E-3</v>
      </c>
      <c r="R40" s="61">
        <f t="shared" si="223"/>
        <v>2.8892351642643812E-3</v>
      </c>
      <c r="T40" s="61"/>
      <c r="V40" s="69">
        <f>AB42</f>
        <v>903749</v>
      </c>
      <c r="Y40" t="s">
        <v>106</v>
      </c>
      <c r="Z40" s="18">
        <v>0.5</v>
      </c>
      <c r="AA40" t="s">
        <v>124</v>
      </c>
      <c r="AB40" s="69">
        <f>AB39/(1+wacc)^AB3</f>
        <v>2860029.6215409888</v>
      </c>
    </row>
    <row r="41" spans="3:68" x14ac:dyDescent="0.25">
      <c r="C41" s="22" t="s">
        <v>125</v>
      </c>
      <c r="D41" s="1">
        <f t="shared" ref="D41:P41" si="224">-D34/D5</f>
        <v>5.5627192850931121E-3</v>
      </c>
      <c r="E41" s="1">
        <f t="shared" si="224"/>
        <v>1.112842487988573E-2</v>
      </c>
      <c r="F41" s="1">
        <f t="shared" si="224"/>
        <v>5.424128606567393E-3</v>
      </c>
      <c r="G41" s="1">
        <f t="shared" si="224"/>
        <v>0</v>
      </c>
      <c r="H41" s="1">
        <f t="shared" si="224"/>
        <v>3.4470413277764519E-3</v>
      </c>
      <c r="I41" s="1">
        <f t="shared" si="224"/>
        <v>8.6674181250216403E-3</v>
      </c>
      <c r="J41" s="1">
        <f t="shared" si="224"/>
        <v>1.3983546242056197E-2</v>
      </c>
      <c r="K41" s="1">
        <f t="shared" si="224"/>
        <v>1.5274575901153196E-2</v>
      </c>
      <c r="L41" s="1">
        <f t="shared" si="224"/>
        <v>1.3660109085152618E-2</v>
      </c>
      <c r="M41" s="1">
        <f t="shared" si="224"/>
        <v>3.4331957020183397E-3</v>
      </c>
      <c r="N41" s="1">
        <f t="shared" si="224"/>
        <v>1.272110832480574E-2</v>
      </c>
      <c r="O41" s="1">
        <f t="shared" si="224"/>
        <v>2.2921709451038243E-2</v>
      </c>
      <c r="P41" s="55">
        <f t="shared" si="224"/>
        <v>1.5970016707557537E-2</v>
      </c>
      <c r="Q41" s="61">
        <f t="shared" si="223"/>
        <v>1.112842487988573E-2</v>
      </c>
      <c r="R41" s="61">
        <f t="shared" si="223"/>
        <v>1.112842487988573E-2</v>
      </c>
      <c r="T41" s="61"/>
      <c r="V41" s="19">
        <f>SUM(V39:V40)</f>
        <v>5036117.7525746934</v>
      </c>
      <c r="Y41" t="s">
        <v>99</v>
      </c>
      <c r="Z41" s="24">
        <v>8000</v>
      </c>
      <c r="AA41" t="s">
        <v>126</v>
      </c>
      <c r="AB41" s="10">
        <f>SUM(IS!$W$37:$AB$37)+AB38</f>
        <v>4891525.6672954988</v>
      </c>
    </row>
    <row r="42" spans="3:68" x14ac:dyDescent="0.25">
      <c r="C42" s="22" t="s">
        <v>127</v>
      </c>
      <c r="D42" s="18">
        <f>D8/D5</f>
        <v>0.32820043782049357</v>
      </c>
      <c r="E42" s="18">
        <f t="shared" ref="E42:P42" si="225">E8/E5</f>
        <v>0.30443448902739906</v>
      </c>
      <c r="F42" s="18">
        <f t="shared" si="225"/>
        <v>1.2019624614174986</v>
      </c>
      <c r="G42" s="18">
        <f t="shared" si="225"/>
        <v>0.62796199209948134</v>
      </c>
      <c r="H42" s="18">
        <f t="shared" si="225"/>
        <v>0.65585583931554892</v>
      </c>
      <c r="I42" s="18">
        <f t="shared" si="225"/>
        <v>0.26508142294923037</v>
      </c>
      <c r="J42" s="18">
        <f t="shared" si="225"/>
        <v>0.28900249476038947</v>
      </c>
      <c r="K42" s="18">
        <f t="shared" si="225"/>
        <v>0.25050876267358357</v>
      </c>
      <c r="L42" s="18">
        <f t="shared" si="225"/>
        <v>0.30884050254004347</v>
      </c>
      <c r="M42" s="18">
        <f t="shared" si="225"/>
        <v>0.27827701374947461</v>
      </c>
      <c r="N42" s="18">
        <f t="shared" si="225"/>
        <v>0.27836596309332373</v>
      </c>
      <c r="O42" s="18">
        <f t="shared" si="225"/>
        <v>0.2857128641688455</v>
      </c>
      <c r="P42" s="55">
        <f t="shared" si="225"/>
        <v>0.47203741890813855</v>
      </c>
      <c r="Q42" s="1">
        <f t="shared" si="223"/>
        <v>0.30443448902739906</v>
      </c>
      <c r="R42" s="1">
        <f t="shared" si="223"/>
        <v>0.30443448902739906</v>
      </c>
      <c r="T42" s="1"/>
      <c r="V42">
        <f>V41/AB45</f>
        <v>21.549867146098748</v>
      </c>
      <c r="Y42" t="s">
        <v>96</v>
      </c>
      <c r="Z42" s="18">
        <v>0.3</v>
      </c>
      <c r="AA42" t="s">
        <v>128</v>
      </c>
      <c r="AB42" s="69">
        <f>WACC!G14</f>
        <v>903749</v>
      </c>
      <c r="AC42" s="69">
        <f>AB42-AB43</f>
        <v>897910</v>
      </c>
    </row>
    <row r="43" spans="3:68" ht="15.75" thickBot="1" x14ac:dyDescent="0.3">
      <c r="C43" s="22" t="s">
        <v>129</v>
      </c>
      <c r="D43" s="56">
        <f>D11/D16</f>
        <v>-2.9944602485402008E-4</v>
      </c>
      <c r="E43" s="56">
        <f t="shared" ref="E43:P43" si="226">E11/E16</f>
        <v>-3.2758244158113123E-4</v>
      </c>
      <c r="F43" s="56">
        <f t="shared" si="226"/>
        <v>-7.6747152218850333E-3</v>
      </c>
      <c r="G43" s="56">
        <f t="shared" si="226"/>
        <v>-0.18381001743391603</v>
      </c>
      <c r="H43" s="56">
        <f t="shared" si="226"/>
        <v>-2.8256853301438473E-2</v>
      </c>
      <c r="I43" s="56">
        <f t="shared" si="226"/>
        <v>0.11943629175055183</v>
      </c>
      <c r="J43" s="56">
        <f t="shared" si="226"/>
        <v>0.10765109010075909</v>
      </c>
      <c r="K43" s="56">
        <f t="shared" si="226"/>
        <v>8.573062216345638E-2</v>
      </c>
      <c r="L43" s="56">
        <f t="shared" si="226"/>
        <v>0.17629100486870461</v>
      </c>
      <c r="M43" s="56">
        <f t="shared" si="226"/>
        <v>0.11684692748268306</v>
      </c>
      <c r="N43" s="56">
        <f t="shared" si="226"/>
        <v>0.12353009214635463</v>
      </c>
      <c r="O43" s="56">
        <f t="shared" si="226"/>
        <v>0.13344948171916324</v>
      </c>
      <c r="P43" s="56">
        <f t="shared" si="226"/>
        <v>1.7482693517935808</v>
      </c>
      <c r="Q43" s="1">
        <f t="shared" si="223"/>
        <v>0.10765109010075909</v>
      </c>
      <c r="R43" s="1">
        <f t="shared" si="223"/>
        <v>0.10765109010075909</v>
      </c>
      <c r="T43" s="1"/>
      <c r="Y43" t="s">
        <v>215</v>
      </c>
      <c r="Z43" s="18">
        <v>0.25</v>
      </c>
      <c r="AA43" s="72" t="s">
        <v>130</v>
      </c>
      <c r="AB43" s="73">
        <f>WACC!G16</f>
        <v>5839</v>
      </c>
    </row>
    <row r="44" spans="3:68" ht="15.75" thickTop="1" x14ac:dyDescent="0.25">
      <c r="P44" s="54"/>
      <c r="Q44" s="63"/>
      <c r="R44" s="63"/>
      <c r="AA44" t="s">
        <v>131</v>
      </c>
      <c r="AB44" s="69">
        <f>AB41+AB42-AB43</f>
        <v>5789435.6672954988</v>
      </c>
    </row>
    <row r="45" spans="3:68" x14ac:dyDescent="0.25">
      <c r="C45" s="22" t="s">
        <v>132</v>
      </c>
      <c r="E45" s="18">
        <f>E8/D8-1</f>
        <v>7.1063091050299176E-2</v>
      </c>
      <c r="F45" s="18">
        <f t="shared" ref="F45:G45" si="227">F8/E8-1</f>
        <v>3.8252042056772373</v>
      </c>
      <c r="G45" s="18">
        <f t="shared" si="227"/>
        <v>-0.50605748533695172</v>
      </c>
      <c r="H45" s="18"/>
      <c r="I45" s="18">
        <f>I8/G8-1</f>
        <v>-0.38342251731481647</v>
      </c>
      <c r="J45" s="18">
        <f t="shared" ref="J45:L45" si="228">J8/I8-1</f>
        <v>0.3668238879616863</v>
      </c>
      <c r="K45" s="18">
        <f t="shared" si="228"/>
        <v>2.3401747698580389E-2</v>
      </c>
      <c r="L45" s="18">
        <f t="shared" si="228"/>
        <v>0.11326451211288058</v>
      </c>
      <c r="M45" s="18"/>
      <c r="N45" s="18">
        <f>N8/L8-1</f>
        <v>-7.7211981137350616E-2</v>
      </c>
      <c r="O45" s="18">
        <f t="shared" ref="O45:Q45" si="229">O8/N8-1</f>
        <v>0.15990183503842781</v>
      </c>
      <c r="P45" s="18">
        <f t="shared" si="229"/>
        <v>9.2233347845015246E-2</v>
      </c>
      <c r="Q45" s="18">
        <f t="shared" si="229"/>
        <v>0.47612062849262204</v>
      </c>
      <c r="R45" s="18">
        <f t="shared" ref="R45" si="230">R8/Q8-1</f>
        <v>1.8324341547451248</v>
      </c>
      <c r="AA45" t="s">
        <v>133</v>
      </c>
      <c r="AB45" s="10">
        <v>233696</v>
      </c>
    </row>
    <row r="46" spans="3:68" x14ac:dyDescent="0.25">
      <c r="N46" s="1"/>
      <c r="AA46" t="s">
        <v>134</v>
      </c>
      <c r="AB46" s="70">
        <f>AB44/AB45</f>
        <v>24.773362262492721</v>
      </c>
    </row>
    <row r="47" spans="3:68" x14ac:dyDescent="0.25">
      <c r="AA47" t="s">
        <v>135</v>
      </c>
      <c r="AB47" s="74">
        <f ca="1">WACC!G13</f>
        <v>32.619999999999997</v>
      </c>
    </row>
    <row r="48" spans="3:68" x14ac:dyDescent="0.25">
      <c r="AA48" t="s">
        <v>136</v>
      </c>
      <c r="AB48" s="1">
        <f ca="1">AB46/AB47-1</f>
        <v>-0.24054683438097113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B5F-03D8-4642-9ED4-21B26E09ABE4}">
  <dimension ref="C7:BA26"/>
  <sheetViews>
    <sheetView topLeftCell="A2" workbookViewId="0">
      <selection activeCell="O20" sqref="O20"/>
    </sheetView>
  </sheetViews>
  <sheetFormatPr defaultRowHeight="15" x14ac:dyDescent="0.25"/>
  <cols>
    <col min="3" max="3" width="10" bestFit="1" customWidth="1"/>
    <col min="6" max="6" width="10.7109375" bestFit="1" customWidth="1"/>
  </cols>
  <sheetData>
    <row r="7" spans="3:53" x14ac:dyDescent="0.25">
      <c r="C7" t="s">
        <v>211</v>
      </c>
      <c r="D7" s="22">
        <v>0.08</v>
      </c>
      <c r="E7">
        <v>100</v>
      </c>
      <c r="F7">
        <f>($D$7+1)*E7</f>
        <v>108</v>
      </c>
      <c r="G7">
        <f t="shared" ref="G7:BA7" si="0">($D$7+1)*F7</f>
        <v>116.64000000000001</v>
      </c>
      <c r="H7">
        <f t="shared" si="0"/>
        <v>125.97120000000002</v>
      </c>
      <c r="I7">
        <f t="shared" si="0"/>
        <v>136.04889600000004</v>
      </c>
      <c r="J7">
        <f t="shared" si="0"/>
        <v>146.93280768000005</v>
      </c>
      <c r="K7">
        <f t="shared" si="0"/>
        <v>158.68743229440005</v>
      </c>
      <c r="L7">
        <f t="shared" si="0"/>
        <v>171.38242687795207</v>
      </c>
      <c r="M7">
        <f t="shared" si="0"/>
        <v>185.09302102818825</v>
      </c>
      <c r="N7">
        <f t="shared" si="0"/>
        <v>199.90046271044332</v>
      </c>
      <c r="O7">
        <f t="shared" si="0"/>
        <v>215.89249972727879</v>
      </c>
      <c r="P7">
        <f t="shared" si="0"/>
        <v>233.16389970546112</v>
      </c>
      <c r="Q7">
        <f t="shared" si="0"/>
        <v>251.81701168189804</v>
      </c>
      <c r="R7">
        <f t="shared" si="0"/>
        <v>271.9623726164499</v>
      </c>
      <c r="S7">
        <f t="shared" si="0"/>
        <v>293.71936242576589</v>
      </c>
      <c r="T7">
        <f t="shared" si="0"/>
        <v>317.21691141982717</v>
      </c>
      <c r="U7">
        <f t="shared" si="0"/>
        <v>342.59426433341338</v>
      </c>
      <c r="V7">
        <f t="shared" si="0"/>
        <v>370.00180548008649</v>
      </c>
      <c r="W7">
        <f t="shared" si="0"/>
        <v>399.60194991849346</v>
      </c>
      <c r="X7">
        <f t="shared" si="0"/>
        <v>431.57010591197297</v>
      </c>
      <c r="Y7">
        <f t="shared" si="0"/>
        <v>466.09571438493083</v>
      </c>
      <c r="Z7">
        <f t="shared" si="0"/>
        <v>503.3833715357253</v>
      </c>
      <c r="AA7">
        <f t="shared" si="0"/>
        <v>543.65404125858333</v>
      </c>
      <c r="AB7">
        <f t="shared" si="0"/>
        <v>587.14636455927007</v>
      </c>
      <c r="AC7">
        <f t="shared" si="0"/>
        <v>634.11807372401177</v>
      </c>
      <c r="AD7">
        <f t="shared" si="0"/>
        <v>684.84751962193275</v>
      </c>
      <c r="AE7">
        <f t="shared" si="0"/>
        <v>739.63532119168747</v>
      </c>
      <c r="AF7">
        <f t="shared" si="0"/>
        <v>798.80614688702246</v>
      </c>
      <c r="AG7">
        <f t="shared" si="0"/>
        <v>862.71063863798429</v>
      </c>
      <c r="AH7">
        <f t="shared" si="0"/>
        <v>931.72748972902309</v>
      </c>
      <c r="AI7">
        <f t="shared" si="0"/>
        <v>1006.265688907345</v>
      </c>
      <c r="AJ7">
        <f t="shared" si="0"/>
        <v>1086.7669440199327</v>
      </c>
      <c r="AK7">
        <f t="shared" si="0"/>
        <v>1173.7082995415274</v>
      </c>
      <c r="AL7">
        <f t="shared" si="0"/>
        <v>1267.6049635048496</v>
      </c>
      <c r="AM7">
        <f t="shared" si="0"/>
        <v>1369.0133605852377</v>
      </c>
      <c r="AN7">
        <f t="shared" si="0"/>
        <v>1478.5344294320569</v>
      </c>
      <c r="AO7">
        <f t="shared" si="0"/>
        <v>1596.8171837866216</v>
      </c>
      <c r="AP7">
        <f t="shared" si="0"/>
        <v>1724.5625584895515</v>
      </c>
      <c r="AQ7">
        <f t="shared" si="0"/>
        <v>1862.5275631687157</v>
      </c>
      <c r="AR7">
        <f t="shared" si="0"/>
        <v>2011.5297682222131</v>
      </c>
      <c r="AS7">
        <f t="shared" si="0"/>
        <v>2172.4521496799903</v>
      </c>
      <c r="AT7">
        <f t="shared" si="0"/>
        <v>2346.2483216543897</v>
      </c>
      <c r="AU7">
        <f t="shared" si="0"/>
        <v>2533.9481873867412</v>
      </c>
      <c r="AV7">
        <f t="shared" si="0"/>
        <v>2736.6640423776807</v>
      </c>
      <c r="AW7">
        <f t="shared" si="0"/>
        <v>2955.5971657678956</v>
      </c>
      <c r="AX7">
        <f t="shared" si="0"/>
        <v>3192.0449390293275</v>
      </c>
      <c r="AY7">
        <f t="shared" si="0"/>
        <v>3447.4085341516738</v>
      </c>
      <c r="AZ7">
        <f t="shared" si="0"/>
        <v>3723.2012168838078</v>
      </c>
      <c r="BA7">
        <f t="shared" si="0"/>
        <v>4021.0573142345129</v>
      </c>
    </row>
    <row r="8" spans="3:53" x14ac:dyDescent="0.25">
      <c r="C8" t="s">
        <v>212</v>
      </c>
      <c r="D8" s="22">
        <v>0.1</v>
      </c>
      <c r="F8">
        <f>SUM(E7:BA7)</f>
        <v>53034.273742165868</v>
      </c>
    </row>
    <row r="9" spans="3:53" x14ac:dyDescent="0.25">
      <c r="D9" s="22"/>
      <c r="F9" s="19">
        <f>NPV(D8,E7:BA7)</f>
        <v>2965.3371740104085</v>
      </c>
    </row>
    <row r="10" spans="3:53" x14ac:dyDescent="0.25">
      <c r="E10" t="s">
        <v>213</v>
      </c>
      <c r="F10">
        <v>200</v>
      </c>
    </row>
    <row r="11" spans="3:53" x14ac:dyDescent="0.25">
      <c r="E11" t="s">
        <v>214</v>
      </c>
      <c r="F11">
        <v>300</v>
      </c>
    </row>
    <row r="12" spans="3:53" x14ac:dyDescent="0.25">
      <c r="F12" s="19">
        <f>F9+F10-F11</f>
        <v>2865.3371740104085</v>
      </c>
    </row>
    <row r="13" spans="3:53" x14ac:dyDescent="0.25">
      <c r="F13" s="19">
        <f>F12/100</f>
        <v>28.653371740104085</v>
      </c>
    </row>
    <row r="15" spans="3:53" x14ac:dyDescent="0.25">
      <c r="J15" s="19">
        <f>F13</f>
        <v>28.653371740104085</v>
      </c>
    </row>
    <row r="16" spans="3:53" x14ac:dyDescent="0.25">
      <c r="G16" s="1">
        <v>0.05</v>
      </c>
      <c r="I16" s="1">
        <v>0.05</v>
      </c>
      <c r="J16" s="70">
        <f t="dataTable" ref="J16:J26" dt2D="0" dtr="0" r1="D7"/>
        <v>16.953253401348082</v>
      </c>
    </row>
    <row r="17" spans="7:10" x14ac:dyDescent="0.25">
      <c r="G17" s="1">
        <f>G16+0.01</f>
        <v>6.0000000000000005E-2</v>
      </c>
      <c r="I17" s="1">
        <v>6.0000000000000005E-2</v>
      </c>
      <c r="J17" s="70">
        <v>19.92914312158937</v>
      </c>
    </row>
    <row r="18" spans="7:10" x14ac:dyDescent="0.25">
      <c r="G18" s="1">
        <f t="shared" ref="G18:G26" si="1">G17+0.01</f>
        <v>7.0000000000000007E-2</v>
      </c>
      <c r="I18" s="1">
        <v>7.0000000000000007E-2</v>
      </c>
      <c r="J18" s="70">
        <v>23.734445595157641</v>
      </c>
    </row>
    <row r="19" spans="7:10" x14ac:dyDescent="0.25">
      <c r="G19" s="1">
        <f t="shared" si="1"/>
        <v>0.08</v>
      </c>
      <c r="I19" s="1">
        <v>0.08</v>
      </c>
      <c r="J19" s="70">
        <v>28.653371740104085</v>
      </c>
    </row>
    <row r="20" spans="7:10" x14ac:dyDescent="0.25">
      <c r="G20" s="1">
        <f t="shared" si="1"/>
        <v>0.09</v>
      </c>
      <c r="I20" s="1">
        <v>0.09</v>
      </c>
      <c r="J20" s="70">
        <v>35.0770474715044</v>
      </c>
    </row>
    <row r="21" spans="7:10" x14ac:dyDescent="0.25">
      <c r="G21" s="1">
        <f t="shared" si="1"/>
        <v>9.9999999999999992E-2</v>
      </c>
      <c r="I21" s="1">
        <v>9.9999999999999992E-2</v>
      </c>
      <c r="J21" s="70">
        <v>43.54545454545454</v>
      </c>
    </row>
    <row r="22" spans="7:10" x14ac:dyDescent="0.25">
      <c r="G22" s="1">
        <f t="shared" si="1"/>
        <v>0.10999999999999999</v>
      </c>
      <c r="I22" s="1">
        <v>0.10999999999999999</v>
      </c>
      <c r="J22" s="70">
        <v>54.806075232117017</v>
      </c>
    </row>
    <row r="23" spans="7:10" x14ac:dyDescent="0.25">
      <c r="G23" s="1">
        <f t="shared" si="1"/>
        <v>0.11999999999999998</v>
      </c>
      <c r="I23" s="1">
        <v>0.11999999999999998</v>
      </c>
      <c r="J23" s="70">
        <v>69.895891578138531</v>
      </c>
    </row>
    <row r="24" spans="7:10" x14ac:dyDescent="0.25">
      <c r="G24" s="1">
        <f t="shared" si="1"/>
        <v>0.12999999999999998</v>
      </c>
      <c r="I24" s="1">
        <v>0.12999999999999998</v>
      </c>
      <c r="J24" s="70">
        <v>90.25601183399985</v>
      </c>
    </row>
    <row r="25" spans="7:10" x14ac:dyDescent="0.25">
      <c r="G25" s="1">
        <f t="shared" si="1"/>
        <v>0.13999999999999999</v>
      </c>
      <c r="I25" s="1">
        <v>0.13999999999999999</v>
      </c>
      <c r="J25" s="70">
        <v>117.89183512645118</v>
      </c>
    </row>
    <row r="26" spans="7:10" x14ac:dyDescent="0.25">
      <c r="G26" s="1">
        <f t="shared" si="1"/>
        <v>0.15</v>
      </c>
      <c r="I26" s="1">
        <v>0.15</v>
      </c>
      <c r="J26" s="70">
        <v>155.59670667999839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C74-11D5-4C7C-A297-0317F5F7A73B}">
  <dimension ref="A3:L14"/>
  <sheetViews>
    <sheetView topLeftCell="E1" workbookViewId="0">
      <selection activeCell="L3" sqref="L3"/>
    </sheetView>
  </sheetViews>
  <sheetFormatPr defaultRowHeight="15" x14ac:dyDescent="0.25"/>
  <cols>
    <col min="9" max="9" width="11.28515625" bestFit="1" customWidth="1"/>
  </cols>
  <sheetData>
    <row r="3" spans="1:12" x14ac:dyDescent="0.25">
      <c r="L3" s="53">
        <f>E4</f>
        <v>24.773362262492721</v>
      </c>
    </row>
    <row r="4" spans="1:12" x14ac:dyDescent="0.25">
      <c r="A4" t="s">
        <v>210</v>
      </c>
      <c r="D4" t="s">
        <v>210</v>
      </c>
      <c r="E4" s="53">
        <f>IS!AB46</f>
        <v>24.773362262492721</v>
      </c>
      <c r="H4">
        <v>0.1</v>
      </c>
      <c r="I4" s="69">
        <f>$I$9*(1-H4)</f>
        <v>299133</v>
      </c>
      <c r="K4">
        <v>299133</v>
      </c>
    </row>
    <row r="5" spans="1:12" x14ac:dyDescent="0.25">
      <c r="A5" s="63">
        <v>0.08</v>
      </c>
      <c r="H5">
        <v>0.08</v>
      </c>
      <c r="I5" s="69">
        <f t="shared" ref="I5:I8" si="0">$I$9*(1-H5)</f>
        <v>305780.40000000002</v>
      </c>
      <c r="K5">
        <v>305780.40000000002</v>
      </c>
    </row>
    <row r="6" spans="1:12" x14ac:dyDescent="0.25">
      <c r="A6" s="63">
        <v>0.09</v>
      </c>
      <c r="D6" s="63">
        <v>0.09</v>
      </c>
      <c r="H6">
        <v>0.06</v>
      </c>
      <c r="I6" s="69">
        <f t="shared" si="0"/>
        <v>312427.8</v>
      </c>
      <c r="K6">
        <v>312427.8</v>
      </c>
    </row>
    <row r="7" spans="1:12" x14ac:dyDescent="0.25">
      <c r="A7" s="63">
        <f>A6+0.01</f>
        <v>9.9999999999999992E-2</v>
      </c>
      <c r="D7" s="63">
        <v>9.9999999999999992E-2</v>
      </c>
      <c r="H7">
        <v>0.04</v>
      </c>
      <c r="I7" s="69">
        <f t="shared" si="0"/>
        <v>319075.20000000001</v>
      </c>
      <c r="K7">
        <v>319075.20000000001</v>
      </c>
    </row>
    <row r="8" spans="1:12" x14ac:dyDescent="0.25">
      <c r="A8" s="63">
        <f>A7+0.01</f>
        <v>0.10999999999999999</v>
      </c>
      <c r="D8" s="63">
        <v>0.10999999999999999</v>
      </c>
      <c r="H8">
        <v>0.02</v>
      </c>
      <c r="I8" s="69">
        <f t="shared" si="0"/>
        <v>325722.59999999998</v>
      </c>
      <c r="K8">
        <v>325722.59999999998</v>
      </c>
    </row>
    <row r="9" spans="1:12" x14ac:dyDescent="0.25">
      <c r="A9" s="63">
        <f t="shared" ref="A9:A14" si="1">A8+0.01</f>
        <v>0.11999999999999998</v>
      </c>
      <c r="D9" s="63">
        <v>0.11999999999999998</v>
      </c>
      <c r="I9" s="86">
        <f>332370</f>
        <v>332370</v>
      </c>
      <c r="K9">
        <v>332370</v>
      </c>
    </row>
    <row r="10" spans="1:12" x14ac:dyDescent="0.25">
      <c r="A10" s="63">
        <f t="shared" si="1"/>
        <v>0.12999999999999998</v>
      </c>
      <c r="D10" s="63">
        <v>0.12999999999999998</v>
      </c>
      <c r="H10">
        <v>0.02</v>
      </c>
      <c r="I10" s="26">
        <f>$I$9*(1+H10)</f>
        <v>339017.4</v>
      </c>
      <c r="K10">
        <v>339017.4</v>
      </c>
    </row>
    <row r="11" spans="1:12" x14ac:dyDescent="0.25">
      <c r="A11" s="63">
        <f t="shared" si="1"/>
        <v>0.13999999999999999</v>
      </c>
      <c r="D11" s="63">
        <v>0.13999999999999999</v>
      </c>
      <c r="H11">
        <v>0.04</v>
      </c>
      <c r="I11" s="26">
        <f t="shared" ref="I11:I14" si="2">$I$9*(1+H11)</f>
        <v>345664.8</v>
      </c>
      <c r="K11">
        <v>345664.8</v>
      </c>
    </row>
    <row r="12" spans="1:12" x14ac:dyDescent="0.25">
      <c r="A12" s="63">
        <f t="shared" si="1"/>
        <v>0.15</v>
      </c>
      <c r="D12" s="63">
        <v>0.15</v>
      </c>
      <c r="H12">
        <v>0.06</v>
      </c>
      <c r="I12" s="26">
        <f t="shared" si="2"/>
        <v>352312.2</v>
      </c>
      <c r="K12">
        <v>352312.2</v>
      </c>
    </row>
    <row r="13" spans="1:12" x14ac:dyDescent="0.25">
      <c r="A13" s="63">
        <f t="shared" si="1"/>
        <v>0.16</v>
      </c>
      <c r="D13" s="63">
        <v>0.16</v>
      </c>
      <c r="H13">
        <v>0.08</v>
      </c>
      <c r="I13" s="26">
        <f t="shared" si="2"/>
        <v>358959.60000000003</v>
      </c>
      <c r="K13">
        <v>358959.60000000003</v>
      </c>
    </row>
    <row r="14" spans="1:12" x14ac:dyDescent="0.25">
      <c r="A14" s="63">
        <f t="shared" si="1"/>
        <v>0.17</v>
      </c>
      <c r="D14" s="63">
        <v>0.17</v>
      </c>
      <c r="H14">
        <v>0.1</v>
      </c>
      <c r="I14" s="26">
        <f t="shared" si="2"/>
        <v>365607.00000000006</v>
      </c>
      <c r="K14">
        <v>365607.00000000006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D33-96A0-4DC9-A085-8E12A702B1D0}">
  <dimension ref="C5:D23"/>
  <sheetViews>
    <sheetView workbookViewId="0">
      <selection activeCell="K24" sqref="K24"/>
    </sheetView>
  </sheetViews>
  <sheetFormatPr defaultRowHeight="15" x14ac:dyDescent="0.25"/>
  <cols>
    <col min="3" max="3" width="9.140625" customWidth="1"/>
    <col min="4" max="4" width="10.5703125" bestFit="1" customWidth="1"/>
  </cols>
  <sheetData>
    <row r="5" spans="3:4" x14ac:dyDescent="0.25">
      <c r="C5" s="25"/>
      <c r="D5" s="25" t="s">
        <v>53</v>
      </c>
    </row>
    <row r="6" spans="3:4" x14ac:dyDescent="0.25">
      <c r="C6" s="57"/>
      <c r="D6" s="25" t="s">
        <v>137</v>
      </c>
    </row>
    <row r="7" spans="3:4" x14ac:dyDescent="0.25">
      <c r="C7" s="25"/>
      <c r="D7" s="25" t="s">
        <v>138</v>
      </c>
    </row>
    <row r="8" spans="3:4" x14ac:dyDescent="0.25">
      <c r="D8" t="s">
        <v>139</v>
      </c>
    </row>
    <row r="9" spans="3:4" x14ac:dyDescent="0.25">
      <c r="D9" t="s">
        <v>140</v>
      </c>
    </row>
    <row r="10" spans="3:4" x14ac:dyDescent="0.25">
      <c r="D10" t="s">
        <v>141</v>
      </c>
    </row>
    <row r="14" spans="3:4" x14ac:dyDescent="0.25">
      <c r="D14" t="s">
        <v>52</v>
      </c>
    </row>
    <row r="15" spans="3:4" x14ac:dyDescent="0.25">
      <c r="D15" t="s">
        <v>142</v>
      </c>
    </row>
    <row r="16" spans="3:4" x14ac:dyDescent="0.25">
      <c r="D16" t="s">
        <v>143</v>
      </c>
    </row>
    <row r="17" spans="4:4" x14ac:dyDescent="0.25">
      <c r="D17" t="s">
        <v>144</v>
      </c>
    </row>
    <row r="18" spans="4:4" x14ac:dyDescent="0.25">
      <c r="D18" t="s">
        <v>145</v>
      </c>
    </row>
    <row r="19" spans="4:4" x14ac:dyDescent="0.25">
      <c r="D19" t="s">
        <v>146</v>
      </c>
    </row>
    <row r="20" spans="4:4" x14ac:dyDescent="0.25">
      <c r="D20" t="s">
        <v>147</v>
      </c>
    </row>
    <row r="21" spans="4:4" x14ac:dyDescent="0.25">
      <c r="D21" t="s">
        <v>148</v>
      </c>
    </row>
    <row r="23" spans="4:4" x14ac:dyDescent="0.25">
      <c r="D23" s="24">
        <f>22900+17500</f>
        <v>40400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88E0-8B7E-487E-AA11-820332A55CBA}">
  <dimension ref="A2:R57"/>
  <sheetViews>
    <sheetView topLeftCell="B31" workbookViewId="0">
      <pane xSplit="2" topLeftCell="E1" activePane="topRight" state="frozen"/>
      <selection activeCell="B21" sqref="B21"/>
      <selection pane="topRight" activeCell="C39" sqref="C39"/>
    </sheetView>
  </sheetViews>
  <sheetFormatPr defaultColWidth="12" defaultRowHeight="15" outlineLevelRow="2" x14ac:dyDescent="0.25"/>
  <cols>
    <col min="1" max="1" width="12" customWidth="1"/>
    <col min="2" max="2" width="21.28515625" customWidth="1"/>
    <col min="3" max="3" width="58.85546875" style="22" bestFit="1" customWidth="1"/>
    <col min="10" max="11" width="12.28515625" bestFit="1" customWidth="1"/>
  </cols>
  <sheetData>
    <row r="2" spans="1:15" x14ac:dyDescent="0.25">
      <c r="E2" s="26"/>
      <c r="F2" s="26"/>
      <c r="G2" s="26"/>
      <c r="I2" s="26"/>
    </row>
    <row r="4" spans="1:15" x14ac:dyDescent="0.25">
      <c r="A4" s="21"/>
      <c r="B4" s="21"/>
      <c r="C4" s="27" t="s">
        <v>149</v>
      </c>
      <c r="D4" s="28" t="s">
        <v>46</v>
      </c>
      <c r="E4" s="28" t="s">
        <v>47</v>
      </c>
      <c r="F4" s="28" t="s">
        <v>48</v>
      </c>
      <c r="G4" s="48" t="s">
        <v>49</v>
      </c>
      <c r="H4" s="28" t="s">
        <v>51</v>
      </c>
      <c r="I4" s="28" t="s">
        <v>52</v>
      </c>
      <c r="J4" s="28" t="s">
        <v>53</v>
      </c>
      <c r="K4" s="48" t="s">
        <v>54</v>
      </c>
      <c r="L4" s="28" t="s">
        <v>56</v>
      </c>
      <c r="M4" s="28" t="s">
        <v>57</v>
      </c>
      <c r="N4" s="29" t="s">
        <v>58</v>
      </c>
      <c r="O4" s="48" t="s">
        <v>59</v>
      </c>
    </row>
    <row r="5" spans="1:15" outlineLevel="1" x14ac:dyDescent="0.25">
      <c r="C5" s="30" t="s">
        <v>150</v>
      </c>
      <c r="D5" s="31"/>
      <c r="E5" s="31"/>
      <c r="F5" s="31"/>
      <c r="G5" s="31"/>
      <c r="H5" s="31"/>
      <c r="I5" s="31"/>
      <c r="J5" s="32"/>
      <c r="K5" s="32"/>
      <c r="L5" s="32"/>
      <c r="M5" s="32"/>
      <c r="N5" s="33"/>
      <c r="O5" s="34"/>
    </row>
    <row r="6" spans="1:15" outlineLevel="1" x14ac:dyDescent="0.25">
      <c r="C6" s="35" t="s">
        <v>151</v>
      </c>
      <c r="D6" s="31">
        <f>IS!D16</f>
        <v>6679</v>
      </c>
      <c r="E6" s="31">
        <f>IS!E16</f>
        <v>9158</v>
      </c>
      <c r="F6" s="31">
        <f>IS!F16</f>
        <v>-181896</v>
      </c>
      <c r="G6" s="31">
        <f>IS!G16</f>
        <v>-21223</v>
      </c>
      <c r="H6" s="31">
        <f>IS!I16</f>
        <v>41227</v>
      </c>
      <c r="I6" s="31">
        <f>IS!J16</f>
        <v>51509</v>
      </c>
      <c r="J6" s="31">
        <f>IS!K16</f>
        <v>83949</v>
      </c>
      <c r="K6" s="31">
        <f>IS!L16</f>
        <v>50116</v>
      </c>
      <c r="L6" s="31">
        <f>IS!N16</f>
        <v>77811</v>
      </c>
      <c r="M6" s="31">
        <f>IS!O16</f>
        <v>79783</v>
      </c>
      <c r="N6" s="33">
        <f>IS!P16</f>
        <v>6356</v>
      </c>
      <c r="O6" s="33">
        <f>IS!Q16</f>
        <v>-18876</v>
      </c>
    </row>
    <row r="7" spans="1:15" outlineLevel="2" x14ac:dyDescent="0.25">
      <c r="A7" s="23"/>
      <c r="B7" s="23"/>
      <c r="C7" s="35" t="s">
        <v>152</v>
      </c>
      <c r="D7" s="31">
        <f>245+141</f>
        <v>386</v>
      </c>
      <c r="E7" s="31">
        <f>556+275-SUM(D7)</f>
        <v>445</v>
      </c>
      <c r="F7" s="31">
        <f>952+402-SUM(D7:E7)</f>
        <v>523</v>
      </c>
      <c r="G7" s="36">
        <f>1917-SUM(Table1[[#This Row],[1Q22]:[3Q22]])</f>
        <v>563</v>
      </c>
      <c r="H7" s="31">
        <f>404+145</f>
        <v>549</v>
      </c>
      <c r="I7" s="31">
        <v>698</v>
      </c>
      <c r="J7" s="32">
        <f>1676+445-SUM(H7:I7)</f>
        <v>874</v>
      </c>
      <c r="K7" s="31">
        <f>3226-SUM(H7:J7)</f>
        <v>1105</v>
      </c>
      <c r="L7" s="31">
        <v>1229</v>
      </c>
      <c r="M7" s="31">
        <f>2648-SUM(Table1[[#This Row],[1Q24]])</f>
        <v>1419</v>
      </c>
      <c r="N7" s="33">
        <f>4888-SUM(Table1[[#This Row],[1Q24]:[2Q24]])</f>
        <v>2240</v>
      </c>
      <c r="O7" s="39">
        <v>2385</v>
      </c>
    </row>
    <row r="8" spans="1:15" outlineLevel="2" x14ac:dyDescent="0.25">
      <c r="A8" s="23"/>
      <c r="B8" s="23"/>
      <c r="C8" s="35" t="s">
        <v>153</v>
      </c>
      <c r="D8" s="31"/>
      <c r="E8" s="31"/>
      <c r="F8" s="31">
        <v>2379</v>
      </c>
      <c r="G8" s="31">
        <f>2379-SUM(Table1[[#This Row],[3Q22]])</f>
        <v>0</v>
      </c>
      <c r="H8" s="31"/>
      <c r="I8" s="31"/>
      <c r="J8" s="32"/>
      <c r="K8" s="32">
        <v>0</v>
      </c>
      <c r="L8" s="31">
        <v>0</v>
      </c>
      <c r="M8" s="31">
        <v>0</v>
      </c>
      <c r="N8" s="33">
        <v>0</v>
      </c>
      <c r="O8" s="39"/>
    </row>
    <row r="9" spans="1:15" outlineLevel="2" x14ac:dyDescent="0.25">
      <c r="C9" s="35" t="s">
        <v>154</v>
      </c>
      <c r="D9" s="31">
        <v>455</v>
      </c>
      <c r="E9" s="31">
        <v>11</v>
      </c>
      <c r="F9" s="31">
        <f>705-SUM(D9:E9)</f>
        <v>239</v>
      </c>
      <c r="G9" s="31">
        <f>2352-SUM(Table1[[#This Row],[1Q22]:[3Q22]])</f>
        <v>1647</v>
      </c>
      <c r="H9" s="31">
        <v>837</v>
      </c>
      <c r="I9" s="31">
        <v>251</v>
      </c>
      <c r="J9" s="32">
        <f>1880-SUM(H9:I9)</f>
        <v>792</v>
      </c>
      <c r="K9" s="32">
        <f>2128-SUM(H9:J9)</f>
        <v>248</v>
      </c>
      <c r="L9" s="31">
        <v>2250</v>
      </c>
      <c r="M9" s="31">
        <f>4072-Table1[[#This Row],[1Q24]]</f>
        <v>1822</v>
      </c>
      <c r="N9" s="33">
        <f>4279-SUM(Table1[[#This Row],[1Q24]:[2Q24]])</f>
        <v>207</v>
      </c>
      <c r="O9" s="34"/>
    </row>
    <row r="10" spans="1:15" outlineLevel="2" x14ac:dyDescent="0.25">
      <c r="A10" s="23"/>
      <c r="B10" s="23"/>
      <c r="C10" s="35" t="s">
        <v>155</v>
      </c>
      <c r="D10" s="31">
        <v>0</v>
      </c>
      <c r="E10" s="31">
        <v>0</v>
      </c>
      <c r="F10" s="31">
        <f>2354-SUM(D10:E10)</f>
        <v>2354</v>
      </c>
      <c r="G10" s="31">
        <f>5885-SUM(Table1[[#This Row],[1Q22]:[3Q22]])</f>
        <v>3531</v>
      </c>
      <c r="H10" s="31">
        <v>3531</v>
      </c>
      <c r="I10" s="31">
        <v>3531</v>
      </c>
      <c r="J10" s="32">
        <f>10593-SUM(H10:I10)</f>
        <v>3531</v>
      </c>
      <c r="K10" s="32">
        <f>14124-SUM(H10:J10)</f>
        <v>3531</v>
      </c>
      <c r="L10" s="31">
        <v>3531</v>
      </c>
      <c r="M10" s="31">
        <f>7062-Table1[[#This Row],[1Q24]]</f>
        <v>3531</v>
      </c>
      <c r="N10" s="33">
        <f>10593-SUM(Table1[[#This Row],[1Q24]:[2Q24]])</f>
        <v>3531</v>
      </c>
      <c r="O10" s="39"/>
    </row>
    <row r="11" spans="1:15" outlineLevel="2" x14ac:dyDescent="0.25">
      <c r="C11" s="35" t="s">
        <v>156</v>
      </c>
      <c r="D11" s="31">
        <v>2596</v>
      </c>
      <c r="E11" s="31">
        <v>-2265</v>
      </c>
      <c r="F11" s="31">
        <f>1078-SUM(D11:E11)</f>
        <v>747</v>
      </c>
      <c r="G11" s="31">
        <f>6131-SUM(Table1[[#This Row],[1Q22]:[3Q22]])</f>
        <v>5053</v>
      </c>
      <c r="H11" s="31">
        <v>1672</v>
      </c>
      <c r="I11" s="31">
        <v>-5560</v>
      </c>
      <c r="J11" s="32">
        <f>2677-SUM(H11:I11)</f>
        <v>6565</v>
      </c>
      <c r="K11" s="32">
        <f>7312-SUM(H11:J11)</f>
        <v>4635</v>
      </c>
      <c r="L11" s="31">
        <v>2386</v>
      </c>
      <c r="M11" s="31">
        <f>11554-Table1[[#This Row],[1Q24]]</f>
        <v>9168</v>
      </c>
      <c r="N11" s="33">
        <f>17118-SUM(Table1[[#This Row],[1Q24]:[2Q24]])</f>
        <v>5564</v>
      </c>
      <c r="O11" s="34"/>
    </row>
    <row r="12" spans="1:15" outlineLevel="2" x14ac:dyDescent="0.25">
      <c r="C12" s="35" t="s">
        <v>157</v>
      </c>
      <c r="D12" s="31">
        <v>0</v>
      </c>
      <c r="E12" s="31">
        <v>0</v>
      </c>
      <c r="F12" s="31">
        <v>0</v>
      </c>
      <c r="G12" s="31">
        <v>0</v>
      </c>
      <c r="H12" s="31"/>
      <c r="I12" s="31">
        <v>191</v>
      </c>
      <c r="J12" s="32">
        <f>195-I12</f>
        <v>4</v>
      </c>
      <c r="K12" s="32">
        <f>198-SUM(I12:J12)</f>
        <v>3</v>
      </c>
      <c r="L12" s="31">
        <v>-8</v>
      </c>
      <c r="M12" s="31">
        <f>31-Table1[[#This Row],[1Q24]]</f>
        <v>39</v>
      </c>
      <c r="N12" s="33">
        <f>126-SUM(Table1[[#This Row],[1Q24]:[2Q24]])</f>
        <v>95</v>
      </c>
      <c r="O12" s="34"/>
    </row>
    <row r="13" spans="1:15" outlineLevel="2" x14ac:dyDescent="0.25">
      <c r="C13" s="35" t="s">
        <v>158</v>
      </c>
      <c r="D13" s="31">
        <v>4310</v>
      </c>
      <c r="E13" s="31">
        <v>4207</v>
      </c>
      <c r="F13" s="31">
        <f>14780-SUM(D13:E13)</f>
        <v>6263</v>
      </c>
      <c r="G13" s="31">
        <f>20665-SUM(Table1[[#This Row],[1Q22]:[3Q22]])</f>
        <v>5885</v>
      </c>
      <c r="H13" s="31">
        <v>5507</v>
      </c>
      <c r="I13" s="31">
        <v>5735</v>
      </c>
      <c r="J13" s="32">
        <f>16221-SUM(H13:I13)</f>
        <v>4979</v>
      </c>
      <c r="K13" s="32">
        <f>21226-SUM(H13:J13)</f>
        <v>5005</v>
      </c>
      <c r="L13" s="31">
        <v>3563</v>
      </c>
      <c r="M13" s="31">
        <f>8309-Table1[[#This Row],[1Q24]]</f>
        <v>4746</v>
      </c>
      <c r="N13" s="33">
        <f>13685-SUM(Table1[[#This Row],[1Q24]:[2Q24]])</f>
        <v>5376</v>
      </c>
      <c r="O13" s="34"/>
    </row>
    <row r="14" spans="1:15" outlineLevel="2" x14ac:dyDescent="0.25">
      <c r="C14" s="35" t="s">
        <v>159</v>
      </c>
      <c r="D14" s="31">
        <v>2561</v>
      </c>
      <c r="E14" s="31">
        <v>-1489</v>
      </c>
      <c r="F14" s="31">
        <f>31329-SUM(D14:E14)</f>
        <v>30257</v>
      </c>
      <c r="G14" s="31">
        <f>20244-SUM(Table1[[#This Row],[1Q22]:[3Q22]])</f>
        <v>-11085</v>
      </c>
      <c r="H14" s="31">
        <v>2873</v>
      </c>
      <c r="I14" s="31">
        <v>-43917</v>
      </c>
      <c r="J14" s="32">
        <f>-44303-SUM(H14:I14)</f>
        <v>-3259</v>
      </c>
      <c r="K14" s="32">
        <f>-42055-SUM(H14:J14)</f>
        <v>2248</v>
      </c>
      <c r="L14" s="31">
        <v>6450</v>
      </c>
      <c r="M14" s="31">
        <f>6112-Table1[[#This Row],[1Q24]]</f>
        <v>-338</v>
      </c>
      <c r="N14" s="33">
        <f>4727-SUM(Table1[[#This Row],[1Q24]:[2Q24]])</f>
        <v>-1385</v>
      </c>
      <c r="O14" s="34"/>
    </row>
    <row r="15" spans="1:15" outlineLevel="2" x14ac:dyDescent="0.25">
      <c r="C15" s="35" t="s">
        <v>160</v>
      </c>
      <c r="D15" s="31">
        <v>85</v>
      </c>
      <c r="E15" s="31">
        <v>517</v>
      </c>
      <c r="F15" s="31">
        <f>1007-SUM(D15:E15)</f>
        <v>405</v>
      </c>
      <c r="G15" s="31">
        <f>483-SUM(Table1[[#This Row],[1Q22]:[3Q22]])</f>
        <v>-524</v>
      </c>
      <c r="H15" s="31">
        <v>69</v>
      </c>
      <c r="I15" s="31">
        <v>137</v>
      </c>
      <c r="J15" s="32">
        <f>258-SUM(H15:I15)</f>
        <v>52</v>
      </c>
      <c r="K15" s="32">
        <f>1246-SUM(H15:J15)</f>
        <v>988</v>
      </c>
      <c r="L15" s="31">
        <v>369</v>
      </c>
      <c r="M15" s="31">
        <f>633-Table1[[#This Row],[1Q24]]</f>
        <v>264</v>
      </c>
      <c r="N15" s="33">
        <f>356-SUM(Table1[[#This Row],[1Q24]:[2Q24]])</f>
        <v>-277</v>
      </c>
      <c r="O15" s="34"/>
    </row>
    <row r="16" spans="1:15" outlineLevel="1" x14ac:dyDescent="0.25">
      <c r="C16" s="41"/>
      <c r="D16" s="31"/>
      <c r="E16" s="31"/>
      <c r="F16" s="31"/>
      <c r="G16" s="31"/>
      <c r="H16" s="31"/>
      <c r="I16" s="31"/>
      <c r="J16" s="32"/>
      <c r="K16" s="32"/>
      <c r="L16" s="31"/>
      <c r="M16" s="31"/>
      <c r="N16" s="33"/>
      <c r="O16" s="34"/>
    </row>
    <row r="17" spans="1:18" outlineLevel="1" x14ac:dyDescent="0.25">
      <c r="C17" s="47" t="s">
        <v>161</v>
      </c>
      <c r="D17" s="40">
        <f>SUM(D18:D29)</f>
        <v>-7947</v>
      </c>
      <c r="E17" s="40">
        <f t="shared" ref="E17:N17" si="0">SUM(E18:E29)</f>
        <v>22586</v>
      </c>
      <c r="F17" s="40">
        <f t="shared" si="0"/>
        <v>267889</v>
      </c>
      <c r="G17" s="40">
        <f t="shared" si="0"/>
        <v>-47120</v>
      </c>
      <c r="H17" s="40">
        <f t="shared" si="0"/>
        <v>-70096</v>
      </c>
      <c r="I17" s="40">
        <f t="shared" si="0"/>
        <v>46467</v>
      </c>
      <c r="J17" s="40">
        <f t="shared" si="0"/>
        <v>-6652</v>
      </c>
      <c r="K17" s="40">
        <f t="shared" si="0"/>
        <v>-62707</v>
      </c>
      <c r="L17" s="40">
        <f t="shared" si="0"/>
        <v>37068</v>
      </c>
      <c r="M17" s="40">
        <f t="shared" si="0"/>
        <v>-60791</v>
      </c>
      <c r="N17" s="38">
        <f t="shared" si="0"/>
        <v>-8773</v>
      </c>
      <c r="O17" s="39"/>
    </row>
    <row r="18" spans="1:18" outlineLevel="2" x14ac:dyDescent="0.25">
      <c r="A18" s="23"/>
      <c r="B18" s="23"/>
      <c r="C18" s="35" t="s">
        <v>162</v>
      </c>
      <c r="D18" s="31">
        <v>-34420</v>
      </c>
      <c r="E18" s="31">
        <v>6500</v>
      </c>
      <c r="F18" s="31">
        <f>-78967-SUM(D18:E18)</f>
        <v>-51047</v>
      </c>
      <c r="G18" s="31">
        <f>-26369-SUM(Table1[[#This Row],[1Q22]:[3Q22]])</f>
        <v>52598</v>
      </c>
      <c r="H18" s="31">
        <v>-109639</v>
      </c>
      <c r="I18" s="31">
        <v>-25961</v>
      </c>
      <c r="J18" s="32">
        <f>-153271-SUM(H18:I18)</f>
        <v>-17671</v>
      </c>
      <c r="K18" s="32">
        <f>-121558-SUM(H18:J18)</f>
        <v>31713</v>
      </c>
      <c r="L18" s="31">
        <v>-18664</v>
      </c>
      <c r="M18" s="31">
        <f>-82213-Table1[[#This Row],[1Q24]]</f>
        <v>-63549</v>
      </c>
      <c r="N18" s="33">
        <f>-26529-SUM(Table1[[#This Row],[1Q24]:[2Q24]])</f>
        <v>55684</v>
      </c>
      <c r="O18" s="39"/>
    </row>
    <row r="19" spans="1:18" outlineLevel="2" x14ac:dyDescent="0.25">
      <c r="C19" s="35" t="s">
        <v>163</v>
      </c>
      <c r="D19" s="31">
        <v>4531</v>
      </c>
      <c r="E19" s="31">
        <v>24222</v>
      </c>
      <c r="F19" s="31">
        <f>36211-SUM(D19:E19)</f>
        <v>7458</v>
      </c>
      <c r="G19" s="31">
        <f>11802-SUM(Table1[[#This Row],[1Q22]:[3Q22]])</f>
        <v>-24409</v>
      </c>
      <c r="H19" s="31">
        <v>17338</v>
      </c>
      <c r="I19" s="31">
        <v>7294</v>
      </c>
      <c r="J19" s="32">
        <f>-28092-SUM(H19:I19)</f>
        <v>-52724</v>
      </c>
      <c r="K19" s="32">
        <f>-63299-SUM(H19:J19)</f>
        <v>-35207</v>
      </c>
      <c r="L19" s="31">
        <v>29386</v>
      </c>
      <c r="M19" s="31">
        <f>37052-Table1[[#This Row],[1Q24]]</f>
        <v>7666</v>
      </c>
      <c r="N19" s="33">
        <f>14585-SUM(Table1[[#This Row],[1Q24]:[2Q24]])</f>
        <v>-22467</v>
      </c>
      <c r="O19" s="42"/>
    </row>
    <row r="20" spans="1:18" outlineLevel="2" x14ac:dyDescent="0.25">
      <c r="C20" s="35" t="s">
        <v>164</v>
      </c>
      <c r="D20" s="31">
        <v>3513</v>
      </c>
      <c r="E20" s="31">
        <v>-2256</v>
      </c>
      <c r="F20" s="31">
        <f>1459-SUM(D20:E20)</f>
        <v>202</v>
      </c>
      <c r="G20" s="31">
        <f>2214-SUM(Table1[[#This Row],[1Q22]:[3Q22]])</f>
        <v>755</v>
      </c>
      <c r="H20" s="31">
        <v>-4166</v>
      </c>
      <c r="I20" s="31">
        <v>-7892</v>
      </c>
      <c r="J20" s="32">
        <f>-12406-SUM(H20:I20)</f>
        <v>-348</v>
      </c>
      <c r="K20" s="32">
        <f>-7980-SUM(H20:J20)</f>
        <v>4426</v>
      </c>
      <c r="L20" s="31">
        <v>-2076</v>
      </c>
      <c r="M20" s="31">
        <f>-3469-Table1[[#This Row],[1Q24]]</f>
        <v>-1393</v>
      </c>
      <c r="N20" s="33">
        <f>-20261-SUM(Table1[[#This Row],[1Q24]:[2Q24]])</f>
        <v>-16792</v>
      </c>
      <c r="O20" s="34"/>
    </row>
    <row r="21" spans="1:18" outlineLevel="2" x14ac:dyDescent="0.25">
      <c r="C21" s="35" t="s">
        <v>165</v>
      </c>
      <c r="D21" s="31">
        <v>5552</v>
      </c>
      <c r="E21" s="31">
        <v>-12728</v>
      </c>
      <c r="F21" s="31">
        <f>-3050-SUM(D21:E21)</f>
        <v>4126</v>
      </c>
      <c r="G21" s="31">
        <f>428+34644-SUM(Table1[[#This Row],[1Q22]:[3Q22]])</f>
        <v>38122</v>
      </c>
      <c r="H21" s="31">
        <v>182</v>
      </c>
      <c r="I21" s="31">
        <v>-12673</v>
      </c>
      <c r="J21" s="32">
        <f>14652-SUM(H21:I21)</f>
        <v>27143</v>
      </c>
      <c r="K21" s="32">
        <f>5249-8025-SUM(H21:J21)</f>
        <v>-17428</v>
      </c>
      <c r="L21" s="31">
        <f>-3013+1998</f>
        <v>-1015</v>
      </c>
      <c r="M21" s="31">
        <f>17760+3950-Table1[[#This Row],[1Q24]]</f>
        <v>22725</v>
      </c>
      <c r="N21" s="33">
        <f>-12259+11151-SUM(Table1[[#This Row],[1Q24]:[2Q24]])</f>
        <v>-22818</v>
      </c>
      <c r="O21" s="36"/>
    </row>
    <row r="22" spans="1:18" outlineLevel="2" x14ac:dyDescent="0.25">
      <c r="C22" s="35" t="s">
        <v>166</v>
      </c>
      <c r="D22" s="31"/>
      <c r="E22" s="31">
        <v>0</v>
      </c>
      <c r="F22" s="31">
        <f>30299-SUM(D22:E22)</f>
        <v>30299</v>
      </c>
      <c r="G22" s="31">
        <f>-164-SUM(Table1[[#This Row],[3Q22]])</f>
        <v>-30463</v>
      </c>
      <c r="H22" s="31"/>
      <c r="I22" s="31">
        <v>57605</v>
      </c>
      <c r="J22" s="32">
        <f>57662-SUM(I22)</f>
        <v>57</v>
      </c>
      <c r="K22" s="32">
        <f>48102-SUM(I22:J22)</f>
        <v>-9560</v>
      </c>
      <c r="L22" s="31">
        <v>8250</v>
      </c>
      <c r="M22" s="31">
        <f>-44978-Table1[[#This Row],[1Q24]]</f>
        <v>-53228</v>
      </c>
      <c r="N22" s="33">
        <f>-49631-SUM(Table1[[#This Row],[1Q24]:[2Q24]])</f>
        <v>-4653</v>
      </c>
      <c r="O22" s="36"/>
      <c r="Q22" s="26"/>
    </row>
    <row r="23" spans="1:18" outlineLevel="2" x14ac:dyDescent="0.25">
      <c r="C23" s="35" t="s">
        <v>167</v>
      </c>
      <c r="D23" s="31">
        <v>12190</v>
      </c>
      <c r="E23" s="31">
        <v>5322</v>
      </c>
      <c r="F23" s="31">
        <f>24213-SUM(D23:E23)</f>
        <v>6701</v>
      </c>
      <c r="G23" s="31">
        <f>16940-SUM(Table1[[#This Row],[1Q22]:[3Q22]])</f>
        <v>-7273</v>
      </c>
      <c r="H23" s="31">
        <v>32248</v>
      </c>
      <c r="I23" s="31">
        <v>30747</v>
      </c>
      <c r="J23" s="32">
        <f>100580-SUM(H23:I23)</f>
        <v>37585</v>
      </c>
      <c r="K23" s="32">
        <f>63810-SUM(H23:J23)</f>
        <v>-36770</v>
      </c>
      <c r="L23" s="31">
        <v>29414</v>
      </c>
      <c r="M23" s="31">
        <f>56692-Table1[[#This Row],[1Q24]]</f>
        <v>27278</v>
      </c>
      <c r="N23" s="33">
        <f>59023-SUM(Table1[[#This Row],[1Q24]:[2Q24]])</f>
        <v>2331</v>
      </c>
      <c r="O23" s="36"/>
    </row>
    <row r="24" spans="1:18" outlineLevel="2" x14ac:dyDescent="0.25">
      <c r="C24" s="35" t="s">
        <v>168</v>
      </c>
      <c r="D24" s="31">
        <v>0</v>
      </c>
      <c r="E24" s="31">
        <v>0</v>
      </c>
      <c r="F24" s="31">
        <f>115551-SUM(D24:E24)</f>
        <v>115551</v>
      </c>
      <c r="G24" s="31">
        <f>3986-SUM(Table1[[#This Row],[1Q22]:[3Q22]])</f>
        <v>-111565</v>
      </c>
      <c r="H24" s="31">
        <v>-2923</v>
      </c>
      <c r="I24" s="31">
        <v>-1063</v>
      </c>
      <c r="J24" s="32">
        <f>-3986-SUM(H24:I24)</f>
        <v>0</v>
      </c>
      <c r="K24" s="32">
        <f>-3739-SUM(H24:J24)</f>
        <v>247</v>
      </c>
      <c r="L24" s="31">
        <v>-248</v>
      </c>
      <c r="M24" s="31">
        <f>-248-Table1[[#This Row],[1Q24]]</f>
        <v>0</v>
      </c>
      <c r="N24" s="33">
        <f>-248-SUM(Table1[[#This Row],[1Q24]:[2Q24]])</f>
        <v>0</v>
      </c>
      <c r="O24" s="44"/>
    </row>
    <row r="25" spans="1:18" outlineLevel="2" x14ac:dyDescent="0.25">
      <c r="C25" s="35" t="s">
        <v>169</v>
      </c>
      <c r="D25" s="31">
        <v>765</v>
      </c>
      <c r="E25" s="31">
        <v>1055</v>
      </c>
      <c r="F25" s="31">
        <f>2291-SUM(D25:E25)</f>
        <v>471</v>
      </c>
      <c r="G25" s="31">
        <f>2610-SUM(Table1[[#This Row],[1Q22]:[3Q22]])</f>
        <v>319</v>
      </c>
      <c r="H25" s="31">
        <v>1508</v>
      </c>
      <c r="I25" s="31">
        <v>2015</v>
      </c>
      <c r="J25" s="32">
        <f>5239-SUM(H25:I25)</f>
        <v>1716</v>
      </c>
      <c r="K25" s="32">
        <f>7305-SUM(H25:J25)</f>
        <v>2066</v>
      </c>
      <c r="L25" s="31">
        <v>2094</v>
      </c>
      <c r="M25" s="31">
        <f>2884-Table1[[#This Row],[1Q24]]</f>
        <v>790</v>
      </c>
      <c r="N25" s="33">
        <f>4094-SUM(Table1[[#This Row],[1Q24]:[2Q24]])</f>
        <v>1210</v>
      </c>
      <c r="O25" s="44"/>
      <c r="R25" s="26"/>
    </row>
    <row r="26" spans="1:18" outlineLevel="2" x14ac:dyDescent="0.25">
      <c r="C26" s="35" t="s">
        <v>170</v>
      </c>
      <c r="D26" s="31">
        <v>-78</v>
      </c>
      <c r="E26" s="31">
        <v>-17</v>
      </c>
      <c r="F26" s="31">
        <f>-126-SUM(D26:E26)</f>
        <v>-31</v>
      </c>
      <c r="G26" s="31">
        <f>-183-SUM(Table1[[#This Row],[1Q22]:[3Q22]])</f>
        <v>-57</v>
      </c>
      <c r="H26" s="31">
        <v>-15</v>
      </c>
      <c r="I26" s="31">
        <v>-23</v>
      </c>
      <c r="J26" s="32">
        <f>-64-SUM(H26:I26)</f>
        <v>-26</v>
      </c>
      <c r="K26" s="32">
        <f>-102-SUM(H26:J26)</f>
        <v>-38</v>
      </c>
      <c r="L26" s="31">
        <v>-23</v>
      </c>
      <c r="M26" s="31">
        <f>-34-Table1[[#This Row],[1Q24]]</f>
        <v>-11</v>
      </c>
      <c r="N26" s="33">
        <f>17-SUM(Table1[[#This Row],[1Q24]:[2Q24]])</f>
        <v>51</v>
      </c>
      <c r="O26" s="44"/>
    </row>
    <row r="27" spans="1:18" outlineLevel="2" x14ac:dyDescent="0.25">
      <c r="C27" s="35" t="s">
        <v>171</v>
      </c>
      <c r="D27" s="31">
        <v>0</v>
      </c>
      <c r="E27" s="31">
        <v>0</v>
      </c>
      <c r="F27" s="31">
        <f>154103-SUM(D27:E27)</f>
        <v>154103</v>
      </c>
      <c r="G27" s="31">
        <f>189463-Table1[[#This Row],[3Q22]]</f>
        <v>35360</v>
      </c>
      <c r="H27" s="31">
        <v>-4625</v>
      </c>
      <c r="I27" s="31">
        <v>-3594</v>
      </c>
      <c r="J27" s="32">
        <f>-10593-SUM(H27:I27)</f>
        <v>-2374</v>
      </c>
      <c r="K27" s="32">
        <f>-12723-SUM(Table1[[#This Row],[1Q23]:[3Q23]])</f>
        <v>-2130</v>
      </c>
      <c r="L27" s="31">
        <v>-2378</v>
      </c>
      <c r="M27" s="31">
        <f>-4757-Table1[[#This Row],[1Q24]]</f>
        <v>-2379</v>
      </c>
      <c r="N27" s="33">
        <f>-7135-SUM(Table1[[#This Row],[1Q24]:[2Q24]])</f>
        <v>-2378</v>
      </c>
      <c r="O27" s="44"/>
    </row>
    <row r="28" spans="1:18" outlineLevel="2" x14ac:dyDescent="0.25">
      <c r="C28" s="35" t="s">
        <v>172</v>
      </c>
      <c r="D28" s="31">
        <v>0</v>
      </c>
      <c r="E28" s="31">
        <v>488</v>
      </c>
      <c r="F28" s="31">
        <v>0</v>
      </c>
      <c r="G28" s="31">
        <f>0-SUM(Table1[[#This Row],[1Q22]:[3Q22]])</f>
        <v>-488</v>
      </c>
      <c r="H28" s="31">
        <v>0</v>
      </c>
      <c r="I28" s="31">
        <v>0</v>
      </c>
      <c r="J28" s="32">
        <v>0</v>
      </c>
      <c r="K28" s="32">
        <v>0</v>
      </c>
      <c r="L28" s="31">
        <v>0</v>
      </c>
      <c r="M28" s="31">
        <v>0</v>
      </c>
      <c r="N28" s="33">
        <v>0</v>
      </c>
      <c r="O28" s="44"/>
    </row>
    <row r="29" spans="1:18" outlineLevel="2" x14ac:dyDescent="0.25">
      <c r="C29" s="35" t="s">
        <v>173</v>
      </c>
      <c r="D29" s="31">
        <v>0</v>
      </c>
      <c r="E29" s="31">
        <v>0</v>
      </c>
      <c r="F29" s="31">
        <v>56</v>
      </c>
      <c r="G29" s="31">
        <f>37-Table1[[#This Row],[3Q22]]</f>
        <v>-19</v>
      </c>
      <c r="H29" s="31">
        <v>-4</v>
      </c>
      <c r="I29" s="31">
        <v>12</v>
      </c>
      <c r="J29" s="32">
        <f>-2-SUM(H29:I29)</f>
        <v>-10</v>
      </c>
      <c r="K29" s="32">
        <f>-28-SUM(Table1[[#This Row],[1Q23]:[3Q23]])</f>
        <v>-26</v>
      </c>
      <c r="L29" s="31">
        <v>-7672</v>
      </c>
      <c r="M29" s="31">
        <f>-6362-Table1[[#This Row],[1Q24]]</f>
        <v>1310</v>
      </c>
      <c r="N29" s="33">
        <f>-5303-SUM(Table1[[#This Row],[1Q24]:[2Q24]])</f>
        <v>1059</v>
      </c>
      <c r="O29" s="36"/>
    </row>
    <row r="30" spans="1:18" s="23" customFormat="1" outlineLevel="1" x14ac:dyDescent="0.25">
      <c r="C30" s="35"/>
      <c r="D30" s="31"/>
      <c r="E30" s="31"/>
      <c r="F30" s="31"/>
      <c r="G30" s="31"/>
      <c r="H30" s="31"/>
      <c r="I30" s="31"/>
      <c r="J30" s="32"/>
      <c r="K30" s="32"/>
      <c r="L30" s="31"/>
      <c r="M30" s="31"/>
      <c r="N30" s="33"/>
      <c r="O30" s="36"/>
    </row>
    <row r="31" spans="1:18" x14ac:dyDescent="0.25">
      <c r="C31" s="45" t="s">
        <v>174</v>
      </c>
      <c r="D31" s="40">
        <f>SUM(D6:D15)+SUM(D18:D29)</f>
        <v>9125</v>
      </c>
      <c r="E31" s="40">
        <f t="shared" ref="E31:N31" si="1">SUM(E6:E15)+SUM(E18:E29)</f>
        <v>33170</v>
      </c>
      <c r="F31" s="40">
        <f t="shared" si="1"/>
        <v>129160</v>
      </c>
      <c r="G31" s="40">
        <f t="shared" si="1"/>
        <v>-63273</v>
      </c>
      <c r="H31" s="40">
        <f t="shared" si="1"/>
        <v>-13831</v>
      </c>
      <c r="I31" s="40">
        <f t="shared" si="1"/>
        <v>59042</v>
      </c>
      <c r="J31" s="40">
        <f t="shared" si="1"/>
        <v>90835</v>
      </c>
      <c r="K31" s="40">
        <f t="shared" si="1"/>
        <v>5172</v>
      </c>
      <c r="L31" s="40">
        <f t="shared" si="1"/>
        <v>134649</v>
      </c>
      <c r="M31" s="40">
        <f t="shared" si="1"/>
        <v>39643</v>
      </c>
      <c r="N31" s="38">
        <f t="shared" si="1"/>
        <v>12934</v>
      </c>
      <c r="O31" s="40"/>
      <c r="Q31" s="26">
        <f>SUM(L45:N45)</f>
        <v>-18460</v>
      </c>
    </row>
    <row r="32" spans="1:18" x14ac:dyDescent="0.25">
      <c r="C32" s="41"/>
      <c r="D32" s="31"/>
      <c r="E32" s="31"/>
      <c r="F32" s="36"/>
      <c r="G32" s="36"/>
      <c r="H32" s="31"/>
      <c r="I32" s="31"/>
      <c r="J32" s="44"/>
      <c r="K32" s="44"/>
      <c r="L32" s="44"/>
      <c r="M32" s="44"/>
      <c r="N32" s="33"/>
      <c r="O32" s="36"/>
    </row>
    <row r="33" spans="3:15" outlineLevel="1" x14ac:dyDescent="0.25">
      <c r="C33" s="41" t="s">
        <v>175</v>
      </c>
      <c r="D33" s="31"/>
      <c r="E33" s="31"/>
      <c r="F33" s="36"/>
      <c r="G33" s="36"/>
      <c r="H33" s="31"/>
      <c r="I33" s="31"/>
      <c r="J33" s="36"/>
      <c r="K33" s="36"/>
      <c r="L33" s="36"/>
      <c r="M33" s="36"/>
      <c r="N33" s="33"/>
      <c r="O33" s="36"/>
    </row>
    <row r="34" spans="3:15" outlineLevel="1" x14ac:dyDescent="0.25">
      <c r="C34" s="35" t="s">
        <v>176</v>
      </c>
      <c r="D34" s="31">
        <v>0</v>
      </c>
      <c r="E34" s="31">
        <v>2592</v>
      </c>
      <c r="F34" s="31">
        <f>2592-SUM(E34)</f>
        <v>0</v>
      </c>
      <c r="G34" s="36"/>
      <c r="H34" s="31">
        <v>3233</v>
      </c>
      <c r="I34" s="31">
        <v>0</v>
      </c>
      <c r="J34" s="31">
        <f>3233-SUM(H34:I34)</f>
        <v>0</v>
      </c>
      <c r="K34" s="31">
        <v>0</v>
      </c>
      <c r="L34" s="31">
        <v>0</v>
      </c>
      <c r="M34" s="31">
        <v>0</v>
      </c>
      <c r="N34" s="33">
        <v>0</v>
      </c>
      <c r="O34" s="36"/>
    </row>
    <row r="35" spans="3:15" s="23" customFormat="1" outlineLevel="1" x14ac:dyDescent="0.25">
      <c r="C35" s="35" t="s">
        <v>177</v>
      </c>
      <c r="D35" s="31">
        <v>-742</v>
      </c>
      <c r="E35" s="31">
        <v>-1714</v>
      </c>
      <c r="F35" s="31">
        <f>-3477-SUM(D35:E35)</f>
        <v>-1021</v>
      </c>
      <c r="G35" s="36"/>
      <c r="H35" s="31">
        <v>-2253</v>
      </c>
      <c r="I35" s="31">
        <v>-4557</v>
      </c>
      <c r="J35" s="31">
        <f>-12687-SUM(H35:I35)</f>
        <v>-5877</v>
      </c>
      <c r="K35" s="31">
        <f>-17433-SUM(Table1[[#This Row],[1Q23]:[3Q23]])</f>
        <v>-4746</v>
      </c>
      <c r="L35" s="31">
        <v>-4525</v>
      </c>
      <c r="M35" s="31">
        <f>-13739-Table1[[#This Row],[1Q24]]</f>
        <v>-9214</v>
      </c>
      <c r="N35" s="33">
        <f>-17983-SUM(Table1[[#This Row],[1Q24]:[2Q24]])</f>
        <v>-4244</v>
      </c>
      <c r="O35" s="36"/>
    </row>
    <row r="36" spans="3:15" outlineLevel="1" x14ac:dyDescent="0.25">
      <c r="C36" s="35" t="s">
        <v>178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3">
        <v>-3000</v>
      </c>
      <c r="O36" s="36"/>
    </row>
    <row r="37" spans="3:15" x14ac:dyDescent="0.25">
      <c r="C37" s="45" t="s">
        <v>179</v>
      </c>
      <c r="D37" s="40">
        <f>SUM(D34:D36)</f>
        <v>-742</v>
      </c>
      <c r="E37" s="40">
        <f t="shared" ref="E37:N37" si="2">SUM(E34:E36)</f>
        <v>878</v>
      </c>
      <c r="F37" s="40">
        <f t="shared" si="2"/>
        <v>-1021</v>
      </c>
      <c r="G37" s="40">
        <f t="shared" si="2"/>
        <v>0</v>
      </c>
      <c r="H37" s="40">
        <f t="shared" si="2"/>
        <v>980</v>
      </c>
      <c r="I37" s="40">
        <f t="shared" si="2"/>
        <v>-4557</v>
      </c>
      <c r="J37" s="40">
        <f t="shared" si="2"/>
        <v>-5877</v>
      </c>
      <c r="K37" s="40">
        <f t="shared" si="2"/>
        <v>-4746</v>
      </c>
      <c r="L37" s="40">
        <f t="shared" si="2"/>
        <v>-4525</v>
      </c>
      <c r="M37" s="40">
        <f t="shared" si="2"/>
        <v>-9214</v>
      </c>
      <c r="N37" s="38">
        <f t="shared" si="2"/>
        <v>-7244</v>
      </c>
      <c r="O37" s="46"/>
    </row>
    <row r="38" spans="3:15" x14ac:dyDescent="0.25">
      <c r="C38" s="41"/>
      <c r="D38" s="31"/>
      <c r="E38" s="31"/>
      <c r="F38" s="36"/>
      <c r="G38" s="36"/>
      <c r="H38" s="31"/>
      <c r="I38" s="31"/>
      <c r="J38" s="36"/>
      <c r="K38" s="31"/>
      <c r="L38" s="36"/>
      <c r="M38" s="36"/>
      <c r="N38" s="33"/>
      <c r="O38" s="36"/>
    </row>
    <row r="39" spans="3:15" outlineLevel="1" x14ac:dyDescent="0.25">
      <c r="C39" s="41" t="s">
        <v>180</v>
      </c>
      <c r="D39" s="31"/>
      <c r="E39" s="31"/>
      <c r="F39" s="36"/>
      <c r="G39" s="36"/>
      <c r="H39" s="31"/>
      <c r="I39" s="31"/>
      <c r="J39" s="36"/>
      <c r="K39" s="31"/>
      <c r="L39" s="36"/>
      <c r="M39" s="36"/>
      <c r="N39" s="33"/>
      <c r="O39" s="36"/>
    </row>
    <row r="40" spans="3:15" outlineLevel="1" x14ac:dyDescent="0.25">
      <c r="C40" s="35" t="s">
        <v>181</v>
      </c>
      <c r="D40" s="31">
        <v>-20</v>
      </c>
      <c r="E40" s="31">
        <v>-17</v>
      </c>
      <c r="F40" s="31">
        <f>-49-SUM(D40:E40)</f>
        <v>-12</v>
      </c>
      <c r="G40" s="36"/>
      <c r="H40" s="31">
        <v>-11</v>
      </c>
      <c r="I40" s="31">
        <v>-11</v>
      </c>
      <c r="J40" s="31">
        <f>-33-SUM(H40:I40)</f>
        <v>-11</v>
      </c>
      <c r="K40" s="31">
        <f>-44-SUM(Table1[[#This Row],[1Q23]:[3Q23]])</f>
        <v>-11</v>
      </c>
      <c r="L40" s="31">
        <v>-15</v>
      </c>
      <c r="M40" s="31">
        <f>-30-Table1[[#This Row],[1Q24]]</f>
        <v>-15</v>
      </c>
      <c r="N40" s="33">
        <f>-46-SUM(Table1[[#This Row],[1Q24]:[2Q24]])</f>
        <v>-16</v>
      </c>
      <c r="O40" s="36"/>
    </row>
    <row r="41" spans="3:15" outlineLevel="1" x14ac:dyDescent="0.25">
      <c r="C41" s="35" t="s">
        <v>182</v>
      </c>
      <c r="D41" s="31">
        <v>810</v>
      </c>
      <c r="E41" s="31">
        <f>1260-D41</f>
        <v>450</v>
      </c>
      <c r="F41" s="31">
        <f>3104-SUM(D41:E41)</f>
        <v>1844</v>
      </c>
      <c r="G41" s="36"/>
      <c r="H41" s="31">
        <v>478</v>
      </c>
      <c r="I41" s="31">
        <v>229</v>
      </c>
      <c r="J41" s="31">
        <f>1603-SUM(H41:I41)</f>
        <v>896</v>
      </c>
      <c r="K41" s="31">
        <f>2285-SUM(Table1[[#This Row],[1Q23]:[3Q23]])</f>
        <v>682</v>
      </c>
      <c r="L41" s="31">
        <v>967</v>
      </c>
      <c r="M41" s="31">
        <f>1147-Table1[[#This Row],[1Q24]]</f>
        <v>180</v>
      </c>
      <c r="N41" s="33">
        <f>3832-SUM(Table1[[#This Row],[1Q24]:[2Q24]])</f>
        <v>2685</v>
      </c>
      <c r="O41" s="36"/>
    </row>
    <row r="42" spans="3:15" s="23" customFormat="1" outlineLevel="1" x14ac:dyDescent="0.25">
      <c r="C42" s="35" t="s">
        <v>183</v>
      </c>
      <c r="D42" s="31"/>
      <c r="E42" s="31"/>
      <c r="F42" s="31">
        <v>542018</v>
      </c>
      <c r="G42" s="36"/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3"/>
      <c r="O42" s="36"/>
    </row>
    <row r="43" spans="3:15" outlineLevel="1" x14ac:dyDescent="0.25">
      <c r="C43" s="35" t="s">
        <v>184</v>
      </c>
      <c r="D43" s="31">
        <v>0</v>
      </c>
      <c r="E43" s="31">
        <v>0</v>
      </c>
      <c r="F43" s="31">
        <v>-4596</v>
      </c>
      <c r="G43" s="36"/>
      <c r="H43" s="31">
        <v>-6781</v>
      </c>
      <c r="I43" s="31">
        <v>-6856</v>
      </c>
      <c r="J43" s="31">
        <f>-20512-SUM(H43:I43)</f>
        <v>-6875</v>
      </c>
      <c r="K43" s="31">
        <f>-27462-SUM(Table1[[#This Row],[1Q23]:[3Q23]])</f>
        <v>-6950</v>
      </c>
      <c r="L43" s="31">
        <v>-6837</v>
      </c>
      <c r="M43" s="31">
        <f>-13675-Table1[[#This Row],[1Q24]]</f>
        <v>-6838</v>
      </c>
      <c r="N43" s="33">
        <f>-20588-SUM(Table1[[#This Row],[1Q24]:[2Q24]])</f>
        <v>-6913</v>
      </c>
      <c r="O43" s="36"/>
    </row>
    <row r="44" spans="3:15" outlineLevel="1" x14ac:dyDescent="0.25">
      <c r="C44" s="35" t="s">
        <v>185</v>
      </c>
      <c r="D44" s="31"/>
      <c r="E44" s="31"/>
      <c r="F44" s="31"/>
      <c r="G44" s="36"/>
      <c r="H44" s="31"/>
      <c r="I44" s="31"/>
      <c r="J44" s="31"/>
      <c r="K44" s="31"/>
      <c r="L44" s="31"/>
      <c r="M44" s="31"/>
      <c r="N44" s="33">
        <v>-1658</v>
      </c>
      <c r="O44" s="36"/>
    </row>
    <row r="45" spans="3:15" x14ac:dyDescent="0.25">
      <c r="C45" s="45" t="s">
        <v>180</v>
      </c>
      <c r="D45" s="40">
        <f>SUM(D40:D44)</f>
        <v>790</v>
      </c>
      <c r="E45" s="40">
        <f t="shared" ref="E45:N45" si="3">SUM(E40:E44)</f>
        <v>433</v>
      </c>
      <c r="F45" s="40">
        <f t="shared" si="3"/>
        <v>539254</v>
      </c>
      <c r="G45" s="40">
        <f t="shared" si="3"/>
        <v>0</v>
      </c>
      <c r="H45" s="40">
        <f t="shared" si="3"/>
        <v>-6314</v>
      </c>
      <c r="I45" s="40">
        <f t="shared" si="3"/>
        <v>-6638</v>
      </c>
      <c r="J45" s="40">
        <f t="shared" si="3"/>
        <v>-5990</v>
      </c>
      <c r="K45" s="40">
        <f t="shared" si="3"/>
        <v>-6279</v>
      </c>
      <c r="L45" s="40">
        <f t="shared" si="3"/>
        <v>-5885</v>
      </c>
      <c r="M45" s="40">
        <f t="shared" si="3"/>
        <v>-6673</v>
      </c>
      <c r="N45" s="38">
        <f t="shared" si="3"/>
        <v>-5902</v>
      </c>
      <c r="O45" s="46"/>
    </row>
    <row r="46" spans="3:15" x14ac:dyDescent="0.25">
      <c r="C46" s="41"/>
      <c r="D46" s="31"/>
      <c r="E46" s="31"/>
      <c r="F46" s="36"/>
      <c r="G46" s="36"/>
      <c r="H46" s="31"/>
      <c r="I46" s="31"/>
      <c r="J46" s="36"/>
      <c r="K46" s="31"/>
      <c r="L46" s="31"/>
      <c r="M46" s="36"/>
      <c r="N46" s="33"/>
      <c r="O46" s="36"/>
    </row>
    <row r="47" spans="3:15" s="23" customFormat="1" x14ac:dyDescent="0.25">
      <c r="C47" s="41"/>
      <c r="D47" s="31"/>
      <c r="E47" s="31"/>
      <c r="F47" s="36"/>
      <c r="G47" s="36"/>
      <c r="H47" s="31"/>
      <c r="I47" s="31"/>
      <c r="J47" s="36"/>
      <c r="K47" s="31"/>
      <c r="L47" s="31"/>
      <c r="M47" s="36"/>
      <c r="N47" s="33"/>
      <c r="O47" s="36"/>
    </row>
    <row r="48" spans="3:15" x14ac:dyDescent="0.25">
      <c r="C48" s="41" t="s">
        <v>186</v>
      </c>
      <c r="D48" s="31">
        <v>104</v>
      </c>
      <c r="E48" s="31">
        <v>17</v>
      </c>
      <c r="F48" s="31">
        <f>158-SUM(D48:E48)</f>
        <v>37</v>
      </c>
      <c r="G48" s="36"/>
      <c r="H48" s="31">
        <v>-181</v>
      </c>
      <c r="I48" s="31">
        <v>-374</v>
      </c>
      <c r="J48" s="31">
        <f>-555-SUM(H48:I48)</f>
        <v>0</v>
      </c>
      <c r="K48" s="31">
        <f>1257-SUM(Table1[[#This Row],[1Q23]:[3Q23]])</f>
        <v>1812</v>
      </c>
      <c r="L48" s="31">
        <v>-722</v>
      </c>
      <c r="M48" s="31">
        <f>-766-Table1[[#This Row],[1Q24]]</f>
        <v>-44</v>
      </c>
      <c r="N48" s="33">
        <f>-16-SUM(Table1[[#This Row],[1Q24]:[2Q24]])</f>
        <v>750</v>
      </c>
      <c r="O48" s="36"/>
    </row>
    <row r="49" spans="3:15" x14ac:dyDescent="0.25">
      <c r="C49" s="41"/>
      <c r="D49" s="31"/>
      <c r="E49" s="31"/>
      <c r="F49" s="36"/>
      <c r="G49" s="36"/>
      <c r="H49" s="31"/>
      <c r="I49" s="31"/>
      <c r="J49" s="36"/>
      <c r="K49" s="31"/>
      <c r="L49" s="31"/>
      <c r="M49" s="36"/>
      <c r="N49" s="33"/>
      <c r="O49" s="36"/>
    </row>
    <row r="50" spans="3:15" x14ac:dyDescent="0.25">
      <c r="C50" s="47" t="s">
        <v>187</v>
      </c>
      <c r="D50" s="40">
        <f>D31+D37+D45+D48</f>
        <v>9277</v>
      </c>
      <c r="E50" s="40">
        <f>E31+E37+E45+E48</f>
        <v>34498</v>
      </c>
      <c r="F50" s="40">
        <f>F31+F37+F45+F48</f>
        <v>667430</v>
      </c>
      <c r="G50" s="46"/>
      <c r="H50" s="40">
        <f t="shared" ref="H50:N50" si="4">H31+H37+H45+H48</f>
        <v>-19346</v>
      </c>
      <c r="I50" s="40">
        <f t="shared" si="4"/>
        <v>47473</v>
      </c>
      <c r="J50" s="40">
        <f t="shared" si="4"/>
        <v>78968</v>
      </c>
      <c r="K50" s="40">
        <f t="shared" si="4"/>
        <v>-4041</v>
      </c>
      <c r="L50" s="40">
        <f t="shared" si="4"/>
        <v>123517</v>
      </c>
      <c r="M50" s="40">
        <f t="shared" si="4"/>
        <v>23712</v>
      </c>
      <c r="N50" s="38">
        <f t="shared" si="4"/>
        <v>538</v>
      </c>
      <c r="O50" s="46"/>
    </row>
    <row r="51" spans="3:15" outlineLevel="1" x14ac:dyDescent="0.25">
      <c r="C51" s="41"/>
      <c r="D51" s="31"/>
      <c r="E51" s="31"/>
      <c r="F51" s="36"/>
      <c r="G51" s="36"/>
      <c r="H51" s="31"/>
      <c r="I51" s="31"/>
      <c r="J51" s="36"/>
      <c r="K51" s="31"/>
      <c r="L51" s="31"/>
      <c r="M51" s="36"/>
      <c r="N51" s="33"/>
      <c r="O51" s="36"/>
    </row>
    <row r="52" spans="3:15" outlineLevel="1" x14ac:dyDescent="0.25">
      <c r="C52" s="41" t="s">
        <v>188</v>
      </c>
      <c r="D52" s="31">
        <v>16255</v>
      </c>
      <c r="E52" s="31">
        <f>D53</f>
        <v>25532</v>
      </c>
      <c r="F52" s="31">
        <f t="shared" ref="F52" si="5">E53</f>
        <v>60030</v>
      </c>
      <c r="G52" s="31"/>
      <c r="H52" s="31">
        <v>652927</v>
      </c>
      <c r="I52" s="31">
        <f t="shared" ref="I52:N52" si="6">H53</f>
        <v>633581</v>
      </c>
      <c r="J52" s="31">
        <f t="shared" si="6"/>
        <v>681054</v>
      </c>
      <c r="K52" s="31">
        <f t="shared" si="6"/>
        <v>760022</v>
      </c>
      <c r="L52" s="31">
        <f t="shared" si="6"/>
        <v>755981</v>
      </c>
      <c r="M52" s="31">
        <f t="shared" si="6"/>
        <v>879498</v>
      </c>
      <c r="N52" s="33">
        <f t="shared" si="6"/>
        <v>903210</v>
      </c>
      <c r="O52" s="36"/>
    </row>
    <row r="53" spans="3:15" outlineLevel="1" x14ac:dyDescent="0.25">
      <c r="C53" s="41" t="s">
        <v>189</v>
      </c>
      <c r="D53" s="31">
        <f>D50+D52</f>
        <v>25532</v>
      </c>
      <c r="E53" s="31">
        <f>E50+E52</f>
        <v>60030</v>
      </c>
      <c r="F53" s="31">
        <f t="shared" ref="F53:N53" si="7">F50+F52</f>
        <v>727460</v>
      </c>
      <c r="G53" s="31"/>
      <c r="H53" s="31">
        <f t="shared" si="7"/>
        <v>633581</v>
      </c>
      <c r="I53" s="31">
        <f t="shared" si="7"/>
        <v>681054</v>
      </c>
      <c r="J53" s="31">
        <f t="shared" si="7"/>
        <v>760022</v>
      </c>
      <c r="K53" s="31">
        <f t="shared" si="7"/>
        <v>755981</v>
      </c>
      <c r="L53" s="31">
        <f t="shared" si="7"/>
        <v>879498</v>
      </c>
      <c r="M53" s="31">
        <f t="shared" si="7"/>
        <v>903210</v>
      </c>
      <c r="N53" s="33">
        <f t="shared" si="7"/>
        <v>903748</v>
      </c>
      <c r="O53" s="36"/>
    </row>
    <row r="54" spans="3:15" outlineLevel="1" x14ac:dyDescent="0.25">
      <c r="C54" s="41"/>
      <c r="D54" s="31"/>
      <c r="E54" s="31"/>
      <c r="F54" s="36"/>
      <c r="G54" s="36"/>
      <c r="H54" s="31"/>
      <c r="I54" s="31"/>
      <c r="J54" s="36"/>
      <c r="K54" s="31"/>
      <c r="L54" s="36"/>
      <c r="M54" s="36"/>
      <c r="N54" s="43"/>
      <c r="O54" s="36"/>
    </row>
    <row r="55" spans="3:15" outlineLevel="1" x14ac:dyDescent="0.25">
      <c r="C55" s="41" t="s">
        <v>190</v>
      </c>
      <c r="D55" s="31">
        <f>D52+D50-D53</f>
        <v>0</v>
      </c>
      <c r="E55" s="31">
        <v>0</v>
      </c>
      <c r="F55" s="36"/>
      <c r="G55" s="36"/>
      <c r="H55" s="31">
        <f>H52+H50-H53</f>
        <v>0</v>
      </c>
      <c r="I55" s="31">
        <f>I52+I50-I53</f>
        <v>0</v>
      </c>
      <c r="J55" s="36"/>
      <c r="K55" s="31"/>
      <c r="L55" s="36"/>
      <c r="M55" s="36"/>
      <c r="N55" s="43"/>
      <c r="O55" s="36"/>
    </row>
    <row r="56" spans="3:15" outlineLevel="1" x14ac:dyDescent="0.25">
      <c r="C56" s="41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43"/>
      <c r="O56" s="36"/>
    </row>
    <row r="57" spans="3:15" x14ac:dyDescent="0.25">
      <c r="C57" s="41"/>
      <c r="D57" s="36"/>
      <c r="E57" s="36"/>
      <c r="F57" s="31"/>
      <c r="G57" s="36"/>
      <c r="H57" s="36"/>
      <c r="I57" s="36"/>
      <c r="J57" s="31"/>
      <c r="K57" s="36"/>
      <c r="L57" s="36"/>
      <c r="M57" s="36"/>
      <c r="N57" s="36"/>
      <c r="O57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WACC</vt:lpstr>
      <vt:lpstr>DCF vs NPV of NI</vt:lpstr>
      <vt:lpstr>IS</vt:lpstr>
      <vt:lpstr>Sheet3</vt:lpstr>
      <vt:lpstr>Sheet2</vt:lpstr>
      <vt:lpstr>notes</vt:lpstr>
      <vt:lpstr>CF</vt:lpstr>
      <vt:lpstr>tgr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Dautel</dc:creator>
  <cp:keywords/>
  <dc:description/>
  <cp:lastModifiedBy>Caleb Dautel</cp:lastModifiedBy>
  <cp:revision/>
  <dcterms:created xsi:type="dcterms:W3CDTF">2024-12-05T22:34:23Z</dcterms:created>
  <dcterms:modified xsi:type="dcterms:W3CDTF">2025-02-22T05:53:30Z</dcterms:modified>
  <cp:category/>
  <cp:contentStatus/>
</cp:coreProperties>
</file>