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8.xml" ContentType="application/vnd.openxmlformats-officedocument.spreadsheetml.worksheet+xml"/>
  <Override PartName="/xl/chartsheets/sheet7.xml" ContentType="application/vnd.openxmlformats-officedocument.spreadsheetml.chartsheet+xml"/>
  <Override PartName="/xl/worksheets/sheet9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lebskinner/Desktop/Rock Chucks/Miscellaneous/Truly Miscellaneous/Sports/Tennis/Tennis GOAT/Excel GOAT/"/>
    </mc:Choice>
  </mc:AlternateContent>
  <xr:revisionPtr revIDLastSave="0" documentId="13_ncr:1_{455F77FE-6505-BE40-88D0-0281CCB30347}" xr6:coauthVersionLast="36" xr6:coauthVersionMax="36" xr10:uidLastSave="{00000000-0000-0000-0000-000000000000}"/>
  <bookViews>
    <workbookView xWindow="15460" yWindow="760" windowWidth="15220" windowHeight="16080" tabRatio="500" firstSheet="1" activeTab="1" xr2:uid="{00000000-000D-0000-FFFF-FFFF00000000}"/>
  </bookViews>
  <sheets>
    <sheet name="Data" sheetId="1" r:id="rId1"/>
    <sheet name="Timeline" sheetId="5" r:id="rId2"/>
    <sheet name="Ranking" sheetId="4" r:id="rId3"/>
    <sheet name="Main Stats" sheetId="43" r:id="rId4"/>
    <sheet name="By Date" sheetId="11" r:id="rId5"/>
    <sheet name="Date" sheetId="46" r:id="rId6"/>
    <sheet name="Decades" sheetId="53" r:id="rId7"/>
    <sheet name="Graph Decades" sheetId="54" r:id="rId8"/>
    <sheet name="1970s" sheetId="56" r:id="rId9"/>
    <sheet name="1980s" sheetId="58" r:id="rId10"/>
    <sheet name="1990s" sheetId="59" r:id="rId11"/>
    <sheet name="2000s" sheetId="60" r:id="rId12"/>
    <sheet name="2010s" sheetId="61" r:id="rId13"/>
    <sheet name="By Year" sheetId="2" r:id="rId14"/>
    <sheet name="Year" sheetId="33" r:id="rId15"/>
    <sheet name="By Tournament" sheetId="3" r:id="rId16"/>
    <sheet name="Tournament" sheetId="34" r:id="rId17"/>
    <sheet name="By Age" sheetId="7" r:id="rId18"/>
    <sheet name="Age" sheetId="35" r:id="rId19"/>
    <sheet name="A1" sheetId="25" r:id="rId20"/>
    <sheet name="Australian" sheetId="37" r:id="rId21"/>
    <sheet name="F1" sheetId="27" r:id="rId22"/>
    <sheet name="Roland Garros" sheetId="38" r:id="rId23"/>
    <sheet name="W1" sheetId="29" r:id="rId24"/>
    <sheet name="Wimbledon" sheetId="39" r:id="rId25"/>
    <sheet name="U1" sheetId="31" r:id="rId26"/>
    <sheet name="US Open" sheetId="40" r:id="rId27"/>
  </sheets>
  <calcPr calcId="181029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BF208" i="5" l="1"/>
  <c r="BF207" i="5"/>
  <c r="BF206" i="5"/>
  <c r="BF205" i="5"/>
  <c r="BF163" i="5"/>
  <c r="BF204" i="5"/>
  <c r="BF194" i="5"/>
  <c r="BF195" i="5"/>
  <c r="BF191" i="5"/>
  <c r="BF190" i="5"/>
  <c r="BF186" i="5"/>
  <c r="BF175" i="5"/>
  <c r="BF174" i="5"/>
  <c r="BF171" i="5"/>
  <c r="BF170" i="5"/>
  <c r="BF167" i="5"/>
  <c r="BF166" i="5"/>
  <c r="BE206" i="5"/>
  <c r="BE204" i="5"/>
  <c r="BD204" i="5"/>
  <c r="BD205" i="5"/>
  <c r="BC204" i="5"/>
  <c r="BB205" i="5"/>
  <c r="BB204" i="5"/>
  <c r="BA204" i="5"/>
  <c r="BF199" i="5"/>
  <c r="BF198" i="5"/>
  <c r="BE200" i="5"/>
  <c r="BD200" i="5"/>
  <c r="BC200" i="5"/>
  <c r="BE199" i="5"/>
  <c r="BD199" i="5"/>
  <c r="BC199" i="5"/>
  <c r="BB199" i="5"/>
  <c r="BE198" i="5"/>
  <c r="BD198" i="5"/>
  <c r="BC198" i="5"/>
  <c r="BB198" i="5"/>
  <c r="BE201" i="5"/>
  <c r="BD201" i="5"/>
  <c r="BC201" i="5"/>
  <c r="BB201" i="5"/>
  <c r="BA201" i="5"/>
  <c r="AB256" i="1"/>
  <c r="AB254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A252" i="1"/>
  <c r="AB251" i="1"/>
  <c r="AA251" i="1"/>
  <c r="A251" i="1"/>
  <c r="AB250" i="1"/>
  <c r="AA250" i="1"/>
  <c r="A250" i="1"/>
  <c r="AB249" i="1"/>
  <c r="AA249" i="1"/>
  <c r="A249" i="1"/>
  <c r="AB248" i="1"/>
  <c r="AA248" i="1"/>
  <c r="A248" i="1"/>
  <c r="C252" i="1" l="1"/>
  <c r="AB207" i="5"/>
  <c r="BE197" i="5"/>
  <c r="BE193" i="5"/>
  <c r="BE189" i="5"/>
  <c r="BE177" i="5"/>
  <c r="BE173" i="5"/>
  <c r="BE169" i="5"/>
  <c r="AV50" i="4"/>
  <c r="AU50" i="4"/>
  <c r="AT50" i="4"/>
  <c r="AS50" i="4"/>
  <c r="BC50" i="4" s="1"/>
  <c r="AR50" i="4"/>
  <c r="BB50" i="4" s="1"/>
  <c r="J50" i="4"/>
  <c r="BJ50" i="4"/>
  <c r="BA50" i="4"/>
  <c r="AZ50" i="4"/>
  <c r="AY50" i="4"/>
  <c r="AX50" i="4"/>
  <c r="AW50" i="4"/>
  <c r="Q50" i="4"/>
  <c r="H50" i="4"/>
  <c r="G50" i="4"/>
  <c r="B50" i="4"/>
  <c r="E253" i="1"/>
  <c r="F253" i="1" s="1"/>
  <c r="G253" i="1" s="1"/>
  <c r="H253" i="1" s="1"/>
  <c r="I253" i="1" s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A247" i="1"/>
  <c r="AB246" i="1"/>
  <c r="AA246" i="1"/>
  <c r="A246" i="1"/>
  <c r="AB245" i="1"/>
  <c r="AA245" i="1"/>
  <c r="A245" i="1"/>
  <c r="AB244" i="1"/>
  <c r="AA244" i="1"/>
  <c r="A244" i="1"/>
  <c r="AB243" i="1"/>
  <c r="AA243" i="1"/>
  <c r="A243" i="1"/>
  <c r="K50" i="4" l="1"/>
  <c r="BF50" i="4"/>
  <c r="BE50" i="4"/>
  <c r="I50" i="4"/>
  <c r="BD50" i="4"/>
  <c r="BP50" i="4" s="1"/>
  <c r="C247" i="1"/>
  <c r="AV47" i="4"/>
  <c r="AU47" i="4"/>
  <c r="AR47" i="4"/>
  <c r="J47" i="4"/>
  <c r="BJ47" i="4"/>
  <c r="BC47" i="4"/>
  <c r="BA47" i="4"/>
  <c r="AZ47" i="4"/>
  <c r="AY47" i="4"/>
  <c r="AX47" i="4"/>
  <c r="AW47" i="4"/>
  <c r="BB47" i="4" s="1"/>
  <c r="Q47" i="4"/>
  <c r="H47" i="4"/>
  <c r="G47" i="4"/>
  <c r="B47" i="4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A242" i="1"/>
  <c r="AB241" i="1"/>
  <c r="AA241" i="1"/>
  <c r="A241" i="1"/>
  <c r="AB240" i="1"/>
  <c r="AA240" i="1"/>
  <c r="A240" i="1"/>
  <c r="AB239" i="1"/>
  <c r="AA239" i="1"/>
  <c r="A239" i="1"/>
  <c r="AB238" i="1"/>
  <c r="AA238" i="1"/>
  <c r="A238" i="1"/>
  <c r="AV41" i="4"/>
  <c r="AU41" i="4"/>
  <c r="AT41" i="4"/>
  <c r="AS41" i="4"/>
  <c r="AR41" i="4"/>
  <c r="J41" i="4"/>
  <c r="BJ41" i="4"/>
  <c r="BA41" i="4"/>
  <c r="AZ41" i="4"/>
  <c r="AY41" i="4"/>
  <c r="AX41" i="4"/>
  <c r="AW41" i="4"/>
  <c r="H41" i="4"/>
  <c r="G41" i="4"/>
  <c r="B41" i="4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A237" i="1"/>
  <c r="AB236" i="1"/>
  <c r="AA236" i="1"/>
  <c r="A236" i="1"/>
  <c r="AB235" i="1"/>
  <c r="AA235" i="1"/>
  <c r="A235" i="1"/>
  <c r="AB234" i="1"/>
  <c r="AA234" i="1"/>
  <c r="A234" i="1"/>
  <c r="AB233" i="1"/>
  <c r="AA233" i="1"/>
  <c r="A233" i="1"/>
  <c r="K47" i="4" l="1"/>
  <c r="BF47" i="4"/>
  <c r="K41" i="4"/>
  <c r="BB41" i="4"/>
  <c r="BE47" i="4"/>
  <c r="BD47" i="4"/>
  <c r="I47" i="4"/>
  <c r="C242" i="1"/>
  <c r="BF41" i="4"/>
  <c r="BE41" i="4"/>
  <c r="BC41" i="4"/>
  <c r="I41" i="4"/>
  <c r="BD41" i="4"/>
  <c r="C237" i="1"/>
  <c r="AV39" i="4"/>
  <c r="AU39" i="4"/>
  <c r="AT39" i="4"/>
  <c r="AR39" i="4"/>
  <c r="J39" i="4"/>
  <c r="BJ39" i="4"/>
  <c r="BA39" i="4"/>
  <c r="AZ39" i="4"/>
  <c r="AY39" i="4"/>
  <c r="AX39" i="4"/>
  <c r="BC39" i="4" s="1"/>
  <c r="AW39" i="4"/>
  <c r="Q39" i="4"/>
  <c r="H39" i="4"/>
  <c r="G39" i="4"/>
  <c r="B39" i="4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A232" i="1"/>
  <c r="AB231" i="1"/>
  <c r="AA231" i="1"/>
  <c r="A231" i="1"/>
  <c r="AB230" i="1"/>
  <c r="AA230" i="1"/>
  <c r="A230" i="1"/>
  <c r="AB229" i="1"/>
  <c r="AA229" i="1"/>
  <c r="A229" i="1"/>
  <c r="AB228" i="1"/>
  <c r="AA228" i="1"/>
  <c r="A228" i="1"/>
  <c r="BD39" i="4" l="1"/>
  <c r="BB39" i="4"/>
  <c r="BP47" i="4"/>
  <c r="K39" i="4"/>
  <c r="BP41" i="4"/>
  <c r="BF39" i="4"/>
  <c r="BE39" i="4"/>
  <c r="I39" i="4"/>
  <c r="C232" i="1"/>
  <c r="AV48" i="4"/>
  <c r="AU48" i="4"/>
  <c r="AR48" i="4"/>
  <c r="J48" i="4"/>
  <c r="BJ48" i="4"/>
  <c r="BA48" i="4"/>
  <c r="AZ48" i="4"/>
  <c r="AY48" i="4"/>
  <c r="BD48" i="4" s="1"/>
  <c r="AX48" i="4"/>
  <c r="AW48" i="4"/>
  <c r="Q48" i="4"/>
  <c r="H48" i="4"/>
  <c r="G48" i="4"/>
  <c r="B48" i="4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A227" i="1"/>
  <c r="AB226" i="1"/>
  <c r="AA226" i="1"/>
  <c r="A226" i="1"/>
  <c r="AB225" i="1"/>
  <c r="AA225" i="1"/>
  <c r="A225" i="1"/>
  <c r="AB224" i="1"/>
  <c r="AA224" i="1"/>
  <c r="A224" i="1"/>
  <c r="AB223" i="1"/>
  <c r="AA223" i="1"/>
  <c r="A223" i="1"/>
  <c r="BP39" i="4" l="1"/>
  <c r="K48" i="4"/>
  <c r="BF48" i="4"/>
  <c r="BE48" i="4"/>
  <c r="I48" i="4"/>
  <c r="BC48" i="4"/>
  <c r="BB48" i="4"/>
  <c r="C227" i="1"/>
  <c r="AV36" i="4"/>
  <c r="AU36" i="4"/>
  <c r="AT36" i="4"/>
  <c r="AS36" i="4"/>
  <c r="AR36" i="4"/>
  <c r="J36" i="4"/>
  <c r="BJ36" i="4"/>
  <c r="BA36" i="4"/>
  <c r="AZ36" i="4"/>
  <c r="AY36" i="4"/>
  <c r="AX36" i="4"/>
  <c r="AW36" i="4"/>
  <c r="Q36" i="4"/>
  <c r="H36" i="4"/>
  <c r="G36" i="4"/>
  <c r="B36" i="4"/>
  <c r="BP48" i="4" l="1"/>
  <c r="BF36" i="4"/>
  <c r="BE36" i="4"/>
  <c r="BD36" i="4"/>
  <c r="BC36" i="4"/>
  <c r="BB36" i="4"/>
  <c r="I36" i="4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A222" i="1"/>
  <c r="AB221" i="1"/>
  <c r="AA221" i="1"/>
  <c r="A221" i="1"/>
  <c r="AB220" i="1"/>
  <c r="AA220" i="1"/>
  <c r="A220" i="1"/>
  <c r="AB219" i="1"/>
  <c r="AA219" i="1"/>
  <c r="A219" i="1"/>
  <c r="AB218" i="1"/>
  <c r="AA218" i="1"/>
  <c r="A218" i="1"/>
  <c r="K36" i="4" l="1"/>
  <c r="BP36" i="4"/>
  <c r="C222" i="1"/>
  <c r="BJ32" i="4"/>
  <c r="AV32" i="4"/>
  <c r="BF32" i="4" s="1"/>
  <c r="AU32" i="4"/>
  <c r="AT32" i="4"/>
  <c r="AS32" i="4"/>
  <c r="AR32" i="4"/>
  <c r="BA32" i="4"/>
  <c r="AZ32" i="4"/>
  <c r="AY32" i="4"/>
  <c r="AX32" i="4"/>
  <c r="AW32" i="4"/>
  <c r="Q32" i="4"/>
  <c r="J32" i="4"/>
  <c r="H32" i="4"/>
  <c r="G32" i="4"/>
  <c r="B32" i="4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Q44" i="5"/>
  <c r="P44" i="5"/>
  <c r="O44" i="5"/>
  <c r="N44" i="5"/>
  <c r="M44" i="5"/>
  <c r="M207" i="5" s="1"/>
  <c r="L44" i="5"/>
  <c r="K44" i="5"/>
  <c r="J44" i="5"/>
  <c r="I44" i="5"/>
  <c r="H44" i="5"/>
  <c r="F44" i="5"/>
  <c r="L43" i="5"/>
  <c r="I43" i="5"/>
  <c r="H43" i="5"/>
  <c r="Q42" i="5"/>
  <c r="O42" i="5"/>
  <c r="L42" i="5"/>
  <c r="K42" i="5"/>
  <c r="C45" i="5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A217" i="1"/>
  <c r="AB216" i="1"/>
  <c r="AA216" i="1"/>
  <c r="A216" i="1"/>
  <c r="AB215" i="1"/>
  <c r="AA215" i="1"/>
  <c r="A215" i="1"/>
  <c r="AB214" i="1"/>
  <c r="AA214" i="1"/>
  <c r="A214" i="1"/>
  <c r="AB213" i="1"/>
  <c r="AA213" i="1"/>
  <c r="A213" i="1"/>
  <c r="BD32" i="4" l="1"/>
  <c r="BE32" i="4"/>
  <c r="K32" i="4"/>
  <c r="BC32" i="4"/>
  <c r="BB32" i="4"/>
  <c r="I32" i="4"/>
  <c r="C217" i="1"/>
  <c r="BJ45" i="4"/>
  <c r="AV45" i="4"/>
  <c r="AU45" i="4"/>
  <c r="AT45" i="4"/>
  <c r="AR45" i="4"/>
  <c r="BA45" i="4"/>
  <c r="AZ45" i="4"/>
  <c r="AY45" i="4"/>
  <c r="AX45" i="4"/>
  <c r="BC45" i="4" s="1"/>
  <c r="AW45" i="4"/>
  <c r="Q45" i="4"/>
  <c r="J45" i="4"/>
  <c r="H45" i="4"/>
  <c r="G45" i="4"/>
  <c r="B45" i="4"/>
  <c r="O41" i="5"/>
  <c r="M41" i="5"/>
  <c r="L41" i="5"/>
  <c r="K41" i="5"/>
  <c r="J41" i="5"/>
  <c r="G41" i="5"/>
  <c r="F41" i="5"/>
  <c r="N40" i="5"/>
  <c r="M40" i="5"/>
  <c r="K40" i="5"/>
  <c r="J40" i="5"/>
  <c r="I40" i="5"/>
  <c r="H40" i="5"/>
  <c r="F40" i="5"/>
  <c r="E40" i="5"/>
  <c r="D40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C38" i="5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A212" i="1"/>
  <c r="AB211" i="1"/>
  <c r="AA211" i="1"/>
  <c r="A211" i="1"/>
  <c r="AB210" i="1"/>
  <c r="AA210" i="1"/>
  <c r="A210" i="1"/>
  <c r="AB209" i="1"/>
  <c r="AA209" i="1"/>
  <c r="A209" i="1"/>
  <c r="AB208" i="1"/>
  <c r="AA208" i="1"/>
  <c r="A208" i="1"/>
  <c r="BE45" i="4" l="1"/>
  <c r="BP32" i="4"/>
  <c r="BB45" i="4"/>
  <c r="BD45" i="4"/>
  <c r="BF45" i="4"/>
  <c r="K45" i="4"/>
  <c r="I45" i="4"/>
  <c r="C212" i="1"/>
  <c r="BJ49" i="4"/>
  <c r="AV49" i="4"/>
  <c r="AU49" i="4"/>
  <c r="AT49" i="4"/>
  <c r="AR49" i="4"/>
  <c r="BA49" i="4"/>
  <c r="AZ49" i="4"/>
  <c r="AY49" i="4"/>
  <c r="AX49" i="4"/>
  <c r="BC49" i="4" s="1"/>
  <c r="AW49" i="4"/>
  <c r="A207" i="1"/>
  <c r="A206" i="1"/>
  <c r="A205" i="1"/>
  <c r="A204" i="1"/>
  <c r="A203" i="1"/>
  <c r="Q49" i="4"/>
  <c r="J49" i="4"/>
  <c r="H49" i="4"/>
  <c r="G49" i="4"/>
  <c r="B49" i="4"/>
  <c r="P69" i="5"/>
  <c r="O69" i="5"/>
  <c r="M69" i="5"/>
  <c r="L69" i="5"/>
  <c r="K69" i="5"/>
  <c r="J69" i="5"/>
  <c r="T68" i="5"/>
  <c r="S68" i="5"/>
  <c r="R68" i="5"/>
  <c r="Q68" i="5"/>
  <c r="P68" i="5"/>
  <c r="O68" i="5"/>
  <c r="N68" i="5"/>
  <c r="M68" i="5"/>
  <c r="L68" i="5"/>
  <c r="K68" i="5"/>
  <c r="J68" i="5"/>
  <c r="I68" i="5"/>
  <c r="T67" i="5"/>
  <c r="S67" i="5"/>
  <c r="O67" i="5"/>
  <c r="N67" i="5"/>
  <c r="M67" i="5"/>
  <c r="L67" i="5"/>
  <c r="K67" i="5"/>
  <c r="J67" i="5"/>
  <c r="U66" i="5"/>
  <c r="S66" i="5"/>
  <c r="R66" i="5"/>
  <c r="Q66" i="5"/>
  <c r="P66" i="5"/>
  <c r="O66" i="5"/>
  <c r="N66" i="5"/>
  <c r="M66" i="5"/>
  <c r="L66" i="5"/>
  <c r="K66" i="5"/>
  <c r="J66" i="5"/>
  <c r="I66" i="5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M202" i="1"/>
  <c r="L202" i="1"/>
  <c r="K202" i="1"/>
  <c r="J202" i="1"/>
  <c r="I202" i="1"/>
  <c r="H202" i="1"/>
  <c r="G202" i="1"/>
  <c r="F202" i="1"/>
  <c r="E202" i="1"/>
  <c r="D202" i="1"/>
  <c r="AB206" i="1"/>
  <c r="AA206" i="1"/>
  <c r="AB205" i="1"/>
  <c r="AA205" i="1"/>
  <c r="AB204" i="1"/>
  <c r="AA204" i="1"/>
  <c r="AB203" i="1"/>
  <c r="AA203" i="1"/>
  <c r="I49" i="4" l="1"/>
  <c r="BP45" i="4"/>
  <c r="BB49" i="4"/>
  <c r="BD49" i="4"/>
  <c r="BE49" i="4"/>
  <c r="BF49" i="4"/>
  <c r="K49" i="4"/>
  <c r="C207" i="1"/>
  <c r="BJ40" i="4"/>
  <c r="AV40" i="4"/>
  <c r="AU40" i="4"/>
  <c r="AT40" i="4"/>
  <c r="AS40" i="4"/>
  <c r="AR40" i="4"/>
  <c r="AX40" i="4"/>
  <c r="AY40" i="4"/>
  <c r="AW40" i="4"/>
  <c r="AZ40" i="4"/>
  <c r="BA40" i="4"/>
  <c r="J40" i="4"/>
  <c r="H40" i="4"/>
  <c r="G40" i="4"/>
  <c r="B40" i="4"/>
  <c r="L29" i="5"/>
  <c r="K29" i="5"/>
  <c r="J29" i="5"/>
  <c r="H29" i="5"/>
  <c r="G29" i="5"/>
  <c r="F29" i="5"/>
  <c r="E29" i="5"/>
  <c r="C29" i="5"/>
  <c r="M28" i="5"/>
  <c r="I28" i="5"/>
  <c r="H28" i="5"/>
  <c r="F28" i="5"/>
  <c r="E28" i="5"/>
  <c r="D28" i="5"/>
  <c r="C28" i="5"/>
  <c r="B28" i="5"/>
  <c r="Q27" i="5"/>
  <c r="O27" i="5"/>
  <c r="N27" i="5"/>
  <c r="M27" i="5"/>
  <c r="L27" i="5"/>
  <c r="J27" i="5"/>
  <c r="I27" i="5"/>
  <c r="H27" i="5"/>
  <c r="G27" i="5"/>
  <c r="F27" i="5"/>
  <c r="D27" i="5"/>
  <c r="C27" i="5"/>
  <c r="B26" i="5"/>
  <c r="N202" i="1"/>
  <c r="K40" i="4" s="1"/>
  <c r="A202" i="1"/>
  <c r="AB201" i="1"/>
  <c r="AA201" i="1"/>
  <c r="A201" i="1"/>
  <c r="AB200" i="1"/>
  <c r="AA200" i="1"/>
  <c r="A200" i="1"/>
  <c r="AB199" i="1"/>
  <c r="AA199" i="1"/>
  <c r="A199" i="1"/>
  <c r="AB198" i="1"/>
  <c r="AA198" i="1"/>
  <c r="A198" i="1"/>
  <c r="BF40" i="4" l="1"/>
  <c r="BP49" i="4"/>
  <c r="BC40" i="4"/>
  <c r="BB40" i="4"/>
  <c r="BE40" i="4"/>
  <c r="BD40" i="4"/>
  <c r="I40" i="4"/>
  <c r="C202" i="1"/>
  <c r="BJ43" i="4"/>
  <c r="AV43" i="4"/>
  <c r="AT43" i="4"/>
  <c r="AU43" i="4"/>
  <c r="AS43" i="4"/>
  <c r="AR43" i="4"/>
  <c r="AW43" i="4"/>
  <c r="AX43" i="4"/>
  <c r="AY43" i="4"/>
  <c r="AZ43" i="4"/>
  <c r="BA43" i="4"/>
  <c r="Q43" i="4"/>
  <c r="J43" i="4"/>
  <c r="H43" i="4"/>
  <c r="G43" i="4"/>
  <c r="I43" i="4" s="1"/>
  <c r="B43" i="4"/>
  <c r="B5" i="5"/>
  <c r="B4" i="5"/>
  <c r="B3" i="5"/>
  <c r="F5" i="5"/>
  <c r="D5" i="5"/>
  <c r="C5" i="5"/>
  <c r="F4" i="5"/>
  <c r="E4" i="5"/>
  <c r="D4" i="5"/>
  <c r="C4" i="5"/>
  <c r="G3" i="5"/>
  <c r="F3" i="5"/>
  <c r="C3" i="5"/>
  <c r="E2" i="5"/>
  <c r="C2" i="5"/>
  <c r="AV51" i="4"/>
  <c r="AR51" i="4"/>
  <c r="AV33" i="4"/>
  <c r="AV16" i="4"/>
  <c r="AV8" i="4"/>
  <c r="AS3" i="4"/>
  <c r="G4" i="4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F50" i="4" s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38" i="4"/>
  <c r="B51" i="4"/>
  <c r="B34" i="4"/>
  <c r="B37" i="4"/>
  <c r="B31" i="4"/>
  <c r="B30" i="4"/>
  <c r="B46" i="4"/>
  <c r="B44" i="4"/>
  <c r="B42" i="4"/>
  <c r="B35" i="4"/>
  <c r="B33" i="4"/>
  <c r="B29" i="4"/>
  <c r="B28" i="4"/>
  <c r="B27" i="4"/>
  <c r="B24" i="4"/>
  <c r="B26" i="4"/>
  <c r="B25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8" i="4"/>
  <c r="B9" i="4"/>
  <c r="B7" i="4"/>
  <c r="B6" i="4"/>
  <c r="B5" i="4"/>
  <c r="B3" i="4"/>
  <c r="B4" i="4"/>
  <c r="J51" i="4"/>
  <c r="J34" i="4"/>
  <c r="J37" i="4"/>
  <c r="BJ51" i="4"/>
  <c r="BA51" i="4"/>
  <c r="AZ51" i="4"/>
  <c r="AY51" i="4"/>
  <c r="AX51" i="4"/>
  <c r="AW51" i="4"/>
  <c r="H51" i="4"/>
  <c r="G51" i="4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AB196" i="1"/>
  <c r="AA196" i="1"/>
  <c r="AB195" i="1"/>
  <c r="AA195" i="1"/>
  <c r="AB194" i="1"/>
  <c r="AA194" i="1"/>
  <c r="AB193" i="1"/>
  <c r="AA193" i="1"/>
  <c r="AD41" i="4" l="1"/>
  <c r="F41" i="4"/>
  <c r="M41" i="4" s="1"/>
  <c r="F47" i="4"/>
  <c r="BH47" i="4" s="1"/>
  <c r="O50" i="4"/>
  <c r="M50" i="4"/>
  <c r="L50" i="4"/>
  <c r="N50" i="4"/>
  <c r="BH50" i="4"/>
  <c r="BQ50" i="4" s="1"/>
  <c r="V47" i="4"/>
  <c r="AE50" i="4"/>
  <c r="W50" i="4"/>
  <c r="AC50" i="4"/>
  <c r="T50" i="4"/>
  <c r="AD50" i="4"/>
  <c r="AB50" i="4"/>
  <c r="U50" i="4"/>
  <c r="V50" i="4"/>
  <c r="AB47" i="4"/>
  <c r="W47" i="4"/>
  <c r="AD47" i="4"/>
  <c r="AE47" i="4"/>
  <c r="AE41" i="4"/>
  <c r="U47" i="4"/>
  <c r="AC47" i="4"/>
  <c r="T47" i="4"/>
  <c r="AB48" i="4"/>
  <c r="F48" i="4"/>
  <c r="L48" i="4" s="1"/>
  <c r="W41" i="4"/>
  <c r="V41" i="4"/>
  <c r="AC41" i="4"/>
  <c r="U41" i="4"/>
  <c r="W39" i="4"/>
  <c r="T41" i="4"/>
  <c r="F39" i="4"/>
  <c r="O39" i="4" s="1"/>
  <c r="AB41" i="4"/>
  <c r="V39" i="4"/>
  <c r="U48" i="4"/>
  <c r="AB39" i="4"/>
  <c r="T39" i="4"/>
  <c r="AE48" i="4"/>
  <c r="T48" i="4"/>
  <c r="U39" i="4"/>
  <c r="AC48" i="4"/>
  <c r="AC39" i="4"/>
  <c r="AD39" i="4"/>
  <c r="AD48" i="4"/>
  <c r="W48" i="4"/>
  <c r="AB36" i="4"/>
  <c r="V48" i="4"/>
  <c r="AE39" i="4"/>
  <c r="F32" i="4"/>
  <c r="M32" i="4" s="1"/>
  <c r="AB32" i="4"/>
  <c r="F36" i="4"/>
  <c r="BH36" i="4" s="1"/>
  <c r="AC32" i="4"/>
  <c r="AE36" i="4"/>
  <c r="V36" i="4"/>
  <c r="AD32" i="4"/>
  <c r="W36" i="4"/>
  <c r="AE32" i="4"/>
  <c r="AD36" i="4"/>
  <c r="T32" i="4"/>
  <c r="AC36" i="4"/>
  <c r="U36" i="4"/>
  <c r="F45" i="4"/>
  <c r="BH45" i="4" s="1"/>
  <c r="BQ45" i="4" s="1"/>
  <c r="V32" i="4"/>
  <c r="U32" i="4"/>
  <c r="T36" i="4"/>
  <c r="W32" i="4"/>
  <c r="BP40" i="4"/>
  <c r="AE45" i="4"/>
  <c r="W45" i="4"/>
  <c r="T45" i="4"/>
  <c r="AD45" i="4"/>
  <c r="V45" i="4"/>
  <c r="AC45" i="4"/>
  <c r="U45" i="4"/>
  <c r="AB45" i="4"/>
  <c r="AD40" i="4"/>
  <c r="AB40" i="4"/>
  <c r="F40" i="4"/>
  <c r="L40" i="4" s="1"/>
  <c r="BB43" i="4"/>
  <c r="AE40" i="4"/>
  <c r="W40" i="4"/>
  <c r="V40" i="4"/>
  <c r="U40" i="4"/>
  <c r="AE49" i="4"/>
  <c r="AD49" i="4"/>
  <c r="W49" i="4"/>
  <c r="AB49" i="4"/>
  <c r="AC49" i="4"/>
  <c r="U49" i="4"/>
  <c r="T49" i="4"/>
  <c r="V49" i="4"/>
  <c r="F49" i="4"/>
  <c r="AC40" i="4"/>
  <c r="T40" i="4"/>
  <c r="AB43" i="4"/>
  <c r="V43" i="4"/>
  <c r="AE43" i="4"/>
  <c r="W43" i="4"/>
  <c r="T43" i="4"/>
  <c r="AD43" i="4"/>
  <c r="U43" i="4"/>
  <c r="AC43" i="4"/>
  <c r="BF43" i="4"/>
  <c r="K43" i="4"/>
  <c r="BC43" i="4"/>
  <c r="BE43" i="4"/>
  <c r="BD43" i="4"/>
  <c r="BD51" i="4"/>
  <c r="I51" i="4"/>
  <c r="C197" i="1"/>
  <c r="F43" i="4" s="1"/>
  <c r="AQ151" i="5"/>
  <c r="AO151" i="5"/>
  <c r="AN151" i="5"/>
  <c r="AM151" i="5"/>
  <c r="AL151" i="5"/>
  <c r="AK151" i="5"/>
  <c r="AJ151" i="5"/>
  <c r="AI151" i="5"/>
  <c r="AH151" i="5"/>
  <c r="AO150" i="5"/>
  <c r="AN150" i="5"/>
  <c r="AM150" i="5"/>
  <c r="AL150" i="5"/>
  <c r="AK150" i="5"/>
  <c r="AJ150" i="5"/>
  <c r="AI150" i="5"/>
  <c r="AH150" i="5"/>
  <c r="AN153" i="5"/>
  <c r="AM153" i="5"/>
  <c r="AL153" i="5"/>
  <c r="AK153" i="5"/>
  <c r="AJ153" i="5"/>
  <c r="AI153" i="5"/>
  <c r="AH153" i="5"/>
  <c r="AG153" i="5"/>
  <c r="AN152" i="5"/>
  <c r="AK152" i="5"/>
  <c r="AJ152" i="5"/>
  <c r="AI152" i="5"/>
  <c r="AH152" i="5"/>
  <c r="AG152" i="5"/>
  <c r="AG151" i="5"/>
  <c r="AB191" i="1"/>
  <c r="AE51" i="4" s="1"/>
  <c r="AA191" i="1"/>
  <c r="W51" i="4" s="1"/>
  <c r="AB190" i="1"/>
  <c r="AD51" i="4" s="1"/>
  <c r="AA190" i="1"/>
  <c r="V51" i="4" s="1"/>
  <c r="AB189" i="1"/>
  <c r="AC51" i="4" s="1"/>
  <c r="AA189" i="1"/>
  <c r="U51" i="4" s="1"/>
  <c r="AB188" i="1"/>
  <c r="AB51" i="4" s="1"/>
  <c r="AA188" i="1"/>
  <c r="T51" i="4" s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BE196" i="5"/>
  <c r="BE192" i="5"/>
  <c r="BE188" i="5"/>
  <c r="BE168" i="5"/>
  <c r="BE207" i="5" s="1"/>
  <c r="BE172" i="5"/>
  <c r="BE176" i="5"/>
  <c r="AH41" i="4" l="1"/>
  <c r="BH41" i="4"/>
  <c r="BQ41" i="4" s="1"/>
  <c r="M47" i="4"/>
  <c r="O47" i="4"/>
  <c r="N47" i="4"/>
  <c r="L47" i="4"/>
  <c r="AG50" i="4"/>
  <c r="AH50" i="4"/>
  <c r="AH47" i="4"/>
  <c r="AF50" i="4"/>
  <c r="O41" i="4"/>
  <c r="AI47" i="4"/>
  <c r="L41" i="4"/>
  <c r="N41" i="4"/>
  <c r="AI50" i="4"/>
  <c r="AF47" i="4"/>
  <c r="AG47" i="4"/>
  <c r="AI41" i="4"/>
  <c r="AF48" i="4"/>
  <c r="AI39" i="4"/>
  <c r="M48" i="4"/>
  <c r="N48" i="4"/>
  <c r="BH48" i="4"/>
  <c r="BQ48" i="4" s="1"/>
  <c r="BQ47" i="4"/>
  <c r="O48" i="4"/>
  <c r="AF41" i="4"/>
  <c r="L39" i="4"/>
  <c r="BH39" i="4"/>
  <c r="BQ39" i="4" s="1"/>
  <c r="M39" i="4"/>
  <c r="N39" i="4"/>
  <c r="AG41" i="4"/>
  <c r="AF39" i="4"/>
  <c r="AG39" i="4"/>
  <c r="AH39" i="4"/>
  <c r="AH48" i="4"/>
  <c r="AI48" i="4"/>
  <c r="AF36" i="4"/>
  <c r="AG48" i="4"/>
  <c r="O32" i="4"/>
  <c r="O36" i="4"/>
  <c r="N36" i="4"/>
  <c r="L36" i="4"/>
  <c r="M36" i="4"/>
  <c r="AF32" i="4"/>
  <c r="AH32" i="4"/>
  <c r="AI36" i="4"/>
  <c r="N32" i="4"/>
  <c r="AG32" i="4"/>
  <c r="BH32" i="4"/>
  <c r="BQ32" i="4" s="1"/>
  <c r="L32" i="4"/>
  <c r="AI32" i="4"/>
  <c r="AH36" i="4"/>
  <c r="AG36" i="4"/>
  <c r="M45" i="4"/>
  <c r="O45" i="4"/>
  <c r="L45" i="4"/>
  <c r="N45" i="4"/>
  <c r="BQ36" i="4"/>
  <c r="AF49" i="4"/>
  <c r="AI45" i="4"/>
  <c r="AH40" i="4"/>
  <c r="AG45" i="4"/>
  <c r="AH45" i="4"/>
  <c r="AF45" i="4"/>
  <c r="AG49" i="4"/>
  <c r="O40" i="4"/>
  <c r="BH40" i="4"/>
  <c r="BQ40" i="4" s="1"/>
  <c r="M40" i="4"/>
  <c r="N40" i="4"/>
  <c r="AI40" i="4"/>
  <c r="AF40" i="4"/>
  <c r="AI49" i="4"/>
  <c r="BP43" i="4"/>
  <c r="AG40" i="4"/>
  <c r="BH49" i="4"/>
  <c r="N49" i="4"/>
  <c r="L49" i="4"/>
  <c r="O49" i="4"/>
  <c r="M49" i="4"/>
  <c r="AH49" i="4"/>
  <c r="AH43" i="4"/>
  <c r="AI43" i="4"/>
  <c r="AG43" i="4"/>
  <c r="N43" i="4"/>
  <c r="BH43" i="4"/>
  <c r="AF43" i="4"/>
  <c r="O43" i="4"/>
  <c r="M43" i="4"/>
  <c r="L43" i="4"/>
  <c r="K51" i="4"/>
  <c r="C192" i="1"/>
  <c r="F51" i="4" s="1"/>
  <c r="AT24" i="4"/>
  <c r="AV24" i="4"/>
  <c r="AV5" i="4"/>
  <c r="AU5" i="4"/>
  <c r="AT5" i="4"/>
  <c r="AS5" i="4"/>
  <c r="AR3" i="4"/>
  <c r="C34" i="43"/>
  <c r="B34" i="43"/>
  <c r="C35" i="43"/>
  <c r="B35" i="43"/>
  <c r="C37" i="43"/>
  <c r="B37" i="43"/>
  <c r="C31" i="43"/>
  <c r="B31" i="43"/>
  <c r="C30" i="43"/>
  <c r="B30" i="43"/>
  <c r="C39" i="43"/>
  <c r="B39" i="43"/>
  <c r="C38" i="43"/>
  <c r="B38" i="43"/>
  <c r="C36" i="43"/>
  <c r="B36" i="43"/>
  <c r="C33" i="43"/>
  <c r="B33" i="43"/>
  <c r="C32" i="43"/>
  <c r="B32" i="43"/>
  <c r="L29" i="43"/>
  <c r="C29" i="43"/>
  <c r="B29" i="43"/>
  <c r="C28" i="43"/>
  <c r="B28" i="43"/>
  <c r="C27" i="43"/>
  <c r="B27" i="43"/>
  <c r="C24" i="43"/>
  <c r="B24" i="43"/>
  <c r="C26" i="43"/>
  <c r="B26" i="43"/>
  <c r="C25" i="43"/>
  <c r="B25" i="43"/>
  <c r="C23" i="43"/>
  <c r="B23" i="43"/>
  <c r="C22" i="43"/>
  <c r="B22" i="43"/>
  <c r="C21" i="43"/>
  <c r="B21" i="43"/>
  <c r="C20" i="43"/>
  <c r="B20" i="43"/>
  <c r="C19" i="43"/>
  <c r="B19" i="43"/>
  <c r="C18" i="43"/>
  <c r="B18" i="43"/>
  <c r="C17" i="43"/>
  <c r="B17" i="43"/>
  <c r="C16" i="43"/>
  <c r="B16" i="43"/>
  <c r="C15" i="43"/>
  <c r="B15" i="43"/>
  <c r="C14" i="43"/>
  <c r="B14" i="43"/>
  <c r="C13" i="43"/>
  <c r="B13" i="43"/>
  <c r="C12" i="43"/>
  <c r="B12" i="43"/>
  <c r="C11" i="43"/>
  <c r="B11" i="43"/>
  <c r="C10" i="43"/>
  <c r="B10" i="43"/>
  <c r="C8" i="43"/>
  <c r="B8" i="43"/>
  <c r="C9" i="43"/>
  <c r="B9" i="43"/>
  <c r="C7" i="43"/>
  <c r="B7" i="43"/>
  <c r="C6" i="43"/>
  <c r="B6" i="43"/>
  <c r="C5" i="43"/>
  <c r="B5" i="43"/>
  <c r="C4" i="43"/>
  <c r="B4" i="43"/>
  <c r="AW34" i="4"/>
  <c r="AX34" i="4"/>
  <c r="AY34" i="4"/>
  <c r="AZ34" i="4"/>
  <c r="BA34" i="4"/>
  <c r="BJ34" i="4"/>
  <c r="BJ37" i="4"/>
  <c r="AW37" i="4"/>
  <c r="AX37" i="4"/>
  <c r="BC37" i="4" s="1"/>
  <c r="AY37" i="4"/>
  <c r="AZ37" i="4"/>
  <c r="BA37" i="4"/>
  <c r="Q34" i="4"/>
  <c r="Q37" i="4"/>
  <c r="H34" i="4"/>
  <c r="G34" i="4"/>
  <c r="H37" i="4"/>
  <c r="G37" i="4"/>
  <c r="BD173" i="5"/>
  <c r="BA173" i="5"/>
  <c r="AZ173" i="5"/>
  <c r="AX173" i="5"/>
  <c r="AW173" i="5"/>
  <c r="AV173" i="5"/>
  <c r="AU173" i="5"/>
  <c r="AT173" i="5"/>
  <c r="AS173" i="5"/>
  <c r="AR173" i="5"/>
  <c r="AQ173" i="5"/>
  <c r="AP173" i="5"/>
  <c r="AO173" i="5"/>
  <c r="AN173" i="5"/>
  <c r="AM173" i="5"/>
  <c r="BD172" i="5"/>
  <c r="BA172" i="5"/>
  <c r="AZ172" i="5"/>
  <c r="AY172" i="5"/>
  <c r="AX172" i="5"/>
  <c r="AW172" i="5"/>
  <c r="AV172" i="5"/>
  <c r="AU172" i="5"/>
  <c r="AT172" i="5"/>
  <c r="AS172" i="5"/>
  <c r="AR172" i="5"/>
  <c r="AQ172" i="5"/>
  <c r="AP172" i="5"/>
  <c r="AO172" i="5"/>
  <c r="AN172" i="5"/>
  <c r="AM172" i="5"/>
  <c r="BE171" i="5"/>
  <c r="BD171" i="5"/>
  <c r="BB171" i="5"/>
  <c r="BA171" i="5"/>
  <c r="AZ171" i="5"/>
  <c r="AY171" i="5"/>
  <c r="AX171" i="5"/>
  <c r="AW171" i="5"/>
  <c r="AV171" i="5"/>
  <c r="AU171" i="5"/>
  <c r="AT171" i="5"/>
  <c r="AS171" i="5"/>
  <c r="AR171" i="5"/>
  <c r="AQ171" i="5"/>
  <c r="AP171" i="5"/>
  <c r="AO171" i="5"/>
  <c r="AN171" i="5"/>
  <c r="BE170" i="5"/>
  <c r="BC170" i="5"/>
  <c r="BB170" i="5"/>
  <c r="BA170" i="5"/>
  <c r="AZ170" i="5"/>
  <c r="AY170" i="5"/>
  <c r="AX170" i="5"/>
  <c r="AW170" i="5"/>
  <c r="AV170" i="5"/>
  <c r="AU170" i="5"/>
  <c r="AT170" i="5"/>
  <c r="AS170" i="5"/>
  <c r="AR170" i="5"/>
  <c r="AQ170" i="5"/>
  <c r="AP170" i="5"/>
  <c r="AO170" i="5"/>
  <c r="AN170" i="5"/>
  <c r="AM171" i="5"/>
  <c r="BD189" i="5"/>
  <c r="BD165" i="5"/>
  <c r="BD164" i="5"/>
  <c r="BD185" i="5"/>
  <c r="BC185" i="5"/>
  <c r="BB185" i="5"/>
  <c r="BA185" i="5"/>
  <c r="AZ185" i="5"/>
  <c r="AY185" i="5"/>
  <c r="AX185" i="5"/>
  <c r="AW185" i="5"/>
  <c r="AV185" i="5"/>
  <c r="AT185" i="5"/>
  <c r="AS185" i="5"/>
  <c r="AR185" i="5"/>
  <c r="AQ185" i="5"/>
  <c r="AP185" i="5"/>
  <c r="BC184" i="5"/>
  <c r="BA184" i="5"/>
  <c r="AZ184" i="5"/>
  <c r="AY184" i="5"/>
  <c r="AX184" i="5"/>
  <c r="AW184" i="5"/>
  <c r="AV184" i="5"/>
  <c r="AU184" i="5"/>
  <c r="AT184" i="5"/>
  <c r="AS184" i="5"/>
  <c r="AR184" i="5"/>
  <c r="AQ184" i="5"/>
  <c r="AP184" i="5"/>
  <c r="AO184" i="5"/>
  <c r="BD183" i="5"/>
  <c r="BC183" i="5"/>
  <c r="BB183" i="5"/>
  <c r="BA183" i="5"/>
  <c r="AZ183" i="5"/>
  <c r="AY183" i="5"/>
  <c r="AX183" i="5"/>
  <c r="AW183" i="5"/>
  <c r="AV183" i="5"/>
  <c r="AU183" i="5"/>
  <c r="AT183" i="5"/>
  <c r="AS183" i="5"/>
  <c r="AR183" i="5"/>
  <c r="AQ183" i="5"/>
  <c r="AP183" i="5"/>
  <c r="AO183" i="5"/>
  <c r="BD182" i="5"/>
  <c r="BC182" i="5"/>
  <c r="BB182" i="5"/>
  <c r="BA182" i="5"/>
  <c r="AZ182" i="5"/>
  <c r="AY182" i="5"/>
  <c r="AX182" i="5"/>
  <c r="AV182" i="5"/>
  <c r="AU182" i="5"/>
  <c r="AS182" i="5"/>
  <c r="AR182" i="5"/>
  <c r="AQ182" i="5"/>
  <c r="AP182" i="5"/>
  <c r="AO182" i="5"/>
  <c r="BE195" i="5"/>
  <c r="BD197" i="5"/>
  <c r="AR37" i="4" s="1"/>
  <c r="BC197" i="5"/>
  <c r="BD196" i="5"/>
  <c r="BC196" i="5"/>
  <c r="BD195" i="5"/>
  <c r="BC195" i="5"/>
  <c r="BD194" i="5"/>
  <c r="BC194" i="5"/>
  <c r="BB51" i="4" s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AB186" i="1"/>
  <c r="AE37" i="4" s="1"/>
  <c r="AA186" i="1"/>
  <c r="W37" i="4" s="1"/>
  <c r="AB185" i="1"/>
  <c r="AD37" i="4" s="1"/>
  <c r="AA185" i="1"/>
  <c r="V37" i="4" s="1"/>
  <c r="AB184" i="1"/>
  <c r="AC37" i="4" s="1"/>
  <c r="AA184" i="1"/>
  <c r="U37" i="4" s="1"/>
  <c r="AB183" i="1"/>
  <c r="AB37" i="4" s="1"/>
  <c r="AA183" i="1"/>
  <c r="T37" i="4" s="1"/>
  <c r="BD177" i="5"/>
  <c r="BD176" i="5"/>
  <c r="BE174" i="5"/>
  <c r="BD174" i="5"/>
  <c r="BD168" i="5"/>
  <c r="BD193" i="5"/>
  <c r="BE191" i="5"/>
  <c r="BD191" i="5"/>
  <c r="BE190" i="5"/>
  <c r="BD190" i="5"/>
  <c r="BD207" i="5" s="1"/>
  <c r="BE187" i="5"/>
  <c r="BD187" i="5"/>
  <c r="BE186" i="5"/>
  <c r="BE167" i="5"/>
  <c r="BD167" i="5"/>
  <c r="BE166" i="5"/>
  <c r="BD163" i="5"/>
  <c r="BE162" i="5"/>
  <c r="BD162" i="5"/>
  <c r="BE208" i="5" l="1"/>
  <c r="BQ43" i="4"/>
  <c r="BQ49" i="4"/>
  <c r="BB37" i="4"/>
  <c r="M51" i="4"/>
  <c r="L51" i="4"/>
  <c r="N51" i="4"/>
  <c r="BH51" i="4"/>
  <c r="O51" i="4"/>
  <c r="K37" i="4"/>
  <c r="AU37" i="4"/>
  <c r="BE37" i="4" s="1"/>
  <c r="AT37" i="4"/>
  <c r="BD37" i="4" s="1"/>
  <c r="AV37" i="4"/>
  <c r="BF37" i="4" s="1"/>
  <c r="BD206" i="5"/>
  <c r="I34" i="4"/>
  <c r="I37" i="4"/>
  <c r="AF37" i="4"/>
  <c r="BD208" i="5"/>
  <c r="C187" i="1"/>
  <c r="BC169" i="5"/>
  <c r="BC177" i="5"/>
  <c r="BC193" i="5"/>
  <c r="AR34" i="4" s="1"/>
  <c r="BB34" i="4" s="1"/>
  <c r="BB193" i="5"/>
  <c r="BA193" i="5"/>
  <c r="AZ193" i="5"/>
  <c r="AY193" i="5"/>
  <c r="BC192" i="5"/>
  <c r="BE51" i="4" s="1"/>
  <c r="BA192" i="5"/>
  <c r="AZ192" i="5"/>
  <c r="AY192" i="5"/>
  <c r="BC191" i="5"/>
  <c r="BB191" i="5"/>
  <c r="BA191" i="5"/>
  <c r="AZ191" i="5"/>
  <c r="AY191" i="5"/>
  <c r="BC190" i="5"/>
  <c r="BB190" i="5"/>
  <c r="BA190" i="5"/>
  <c r="AZ190" i="5"/>
  <c r="AY190" i="5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AB181" i="1"/>
  <c r="AE34" i="4" s="1"/>
  <c r="AA181" i="1"/>
  <c r="W34" i="4" s="1"/>
  <c r="AB180" i="1"/>
  <c r="AD34" i="4" s="1"/>
  <c r="AA180" i="1"/>
  <c r="V34" i="4" s="1"/>
  <c r="AB179" i="1"/>
  <c r="AC34" i="4" s="1"/>
  <c r="AA179" i="1"/>
  <c r="U34" i="4" s="1"/>
  <c r="AB178" i="1"/>
  <c r="AB34" i="4" s="1"/>
  <c r="AA178" i="1"/>
  <c r="T34" i="4" s="1"/>
  <c r="K34" i="4" l="1"/>
  <c r="F37" i="4"/>
  <c r="M37" i="4" s="1"/>
  <c r="AT34" i="4"/>
  <c r="BD34" i="4" s="1"/>
  <c r="BP37" i="4"/>
  <c r="AG37" i="4"/>
  <c r="AU34" i="4"/>
  <c r="BE34" i="4" s="1"/>
  <c r="BC51" i="4"/>
  <c r="BP51" i="4" s="1"/>
  <c r="BQ51" i="4" s="1"/>
  <c r="AS34" i="4"/>
  <c r="BC34" i="4" s="1"/>
  <c r="AF34" i="4"/>
  <c r="BF51" i="4"/>
  <c r="AV34" i="4"/>
  <c r="BF34" i="4" s="1"/>
  <c r="AH37" i="4"/>
  <c r="AI37" i="4"/>
  <c r="BC207" i="5"/>
  <c r="C182" i="1"/>
  <c r="F34" i="4" s="1"/>
  <c r="AW38" i="4"/>
  <c r="AX38" i="4"/>
  <c r="AY38" i="4"/>
  <c r="AZ38" i="4"/>
  <c r="BE38" i="4" s="1"/>
  <c r="BA38" i="4"/>
  <c r="AW31" i="4"/>
  <c r="AX31" i="4"/>
  <c r="AY31" i="4"/>
  <c r="AZ31" i="4"/>
  <c r="BA31" i="4"/>
  <c r="AW30" i="4"/>
  <c r="AX30" i="4"/>
  <c r="AY30" i="4"/>
  <c r="AZ30" i="4"/>
  <c r="BA30" i="4"/>
  <c r="J38" i="4"/>
  <c r="J31" i="4"/>
  <c r="J30" i="4"/>
  <c r="Q38" i="4"/>
  <c r="H38" i="4"/>
  <c r="G38" i="4"/>
  <c r="Q31" i="4"/>
  <c r="H31" i="4"/>
  <c r="G31" i="4"/>
  <c r="Q30" i="4"/>
  <c r="H30" i="4"/>
  <c r="G30" i="4"/>
  <c r="O37" i="4" l="1"/>
  <c r="BH37" i="4"/>
  <c r="BQ37" i="4" s="1"/>
  <c r="N37" i="4"/>
  <c r="L37" i="4"/>
  <c r="BP34" i="4"/>
  <c r="I30" i="4"/>
  <c r="AI34" i="4"/>
  <c r="AG34" i="4"/>
  <c r="AG51" i="4"/>
  <c r="AH51" i="4"/>
  <c r="AH34" i="4"/>
  <c r="N34" i="4"/>
  <c r="M34" i="4"/>
  <c r="BH34" i="4"/>
  <c r="L34" i="4"/>
  <c r="O34" i="4"/>
  <c r="I31" i="4"/>
  <c r="I38" i="4"/>
  <c r="K34" i="43" s="1"/>
  <c r="AK137" i="5"/>
  <c r="AJ137" i="5"/>
  <c r="AI137" i="5"/>
  <c r="AH137" i="5"/>
  <c r="AG137" i="5"/>
  <c r="AF137" i="5"/>
  <c r="AE137" i="5"/>
  <c r="AC137" i="5"/>
  <c r="AB137" i="5"/>
  <c r="AK136" i="5"/>
  <c r="AJ136" i="5"/>
  <c r="AI136" i="5"/>
  <c r="AH136" i="5"/>
  <c r="AG136" i="5"/>
  <c r="AF136" i="5"/>
  <c r="AE136" i="5"/>
  <c r="AD136" i="5"/>
  <c r="AC136" i="5"/>
  <c r="AB136" i="5"/>
  <c r="AK135" i="5"/>
  <c r="AJ135" i="5"/>
  <c r="AI135" i="5"/>
  <c r="AH135" i="5"/>
  <c r="AG135" i="5"/>
  <c r="AF135" i="5"/>
  <c r="AE135" i="5"/>
  <c r="AD135" i="5"/>
  <c r="AC135" i="5"/>
  <c r="AB135" i="5"/>
  <c r="AK134" i="5"/>
  <c r="AJ134" i="5"/>
  <c r="AI134" i="5"/>
  <c r="AH134" i="5"/>
  <c r="AS31" i="4" s="1"/>
  <c r="BC31" i="4" s="1"/>
  <c r="AG134" i="5"/>
  <c r="AD134" i="5"/>
  <c r="AC134" i="5"/>
  <c r="AB134" i="5"/>
  <c r="AA135" i="5"/>
  <c r="AI133" i="5"/>
  <c r="AH133" i="5"/>
  <c r="AG133" i="5"/>
  <c r="AF133" i="5"/>
  <c r="AE133" i="5"/>
  <c r="AD133" i="5"/>
  <c r="AC133" i="5"/>
  <c r="AB133" i="5"/>
  <c r="AA133" i="5"/>
  <c r="AI132" i="5"/>
  <c r="AH132" i="5"/>
  <c r="AG132" i="5"/>
  <c r="AF132" i="5"/>
  <c r="AE132" i="5"/>
  <c r="AD132" i="5"/>
  <c r="AC132" i="5"/>
  <c r="AB132" i="5"/>
  <c r="AA132" i="5"/>
  <c r="AI131" i="5"/>
  <c r="AH131" i="5"/>
  <c r="AG131" i="5"/>
  <c r="AF131" i="5"/>
  <c r="AE131" i="5"/>
  <c r="AD131" i="5"/>
  <c r="AC131" i="5"/>
  <c r="AB131" i="5"/>
  <c r="AI130" i="5"/>
  <c r="AH213" i="5" s="1"/>
  <c r="AG130" i="5"/>
  <c r="AF130" i="5"/>
  <c r="AE130" i="5"/>
  <c r="AD130" i="5"/>
  <c r="AC130" i="5"/>
  <c r="AB130" i="5"/>
  <c r="AA130" i="5"/>
  <c r="Z130" i="5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AB176" i="1"/>
  <c r="AE38" i="4" s="1"/>
  <c r="AA176" i="1"/>
  <c r="W38" i="4" s="1"/>
  <c r="AB175" i="1"/>
  <c r="AD38" i="4" s="1"/>
  <c r="AA175" i="1"/>
  <c r="V38" i="4" s="1"/>
  <c r="AB174" i="1"/>
  <c r="AC38" i="4" s="1"/>
  <c r="AA174" i="1"/>
  <c r="U38" i="4" s="1"/>
  <c r="AB173" i="1"/>
  <c r="AB38" i="4" s="1"/>
  <c r="AA173" i="1"/>
  <c r="T38" i="4" s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AB171" i="1"/>
  <c r="AA171" i="1"/>
  <c r="W31" i="4" s="1"/>
  <c r="AB170" i="1"/>
  <c r="AD31" i="4" s="1"/>
  <c r="AA170" i="1"/>
  <c r="V31" i="4" s="1"/>
  <c r="AB169" i="1"/>
  <c r="AC31" i="4" s="1"/>
  <c r="AA169" i="1"/>
  <c r="U31" i="4" s="1"/>
  <c r="AB168" i="1"/>
  <c r="AB31" i="4" s="1"/>
  <c r="AA168" i="1"/>
  <c r="T31" i="4" s="1"/>
  <c r="AQ149" i="5"/>
  <c r="AP149" i="5"/>
  <c r="AO149" i="5"/>
  <c r="AN149" i="5"/>
  <c r="AL149" i="5"/>
  <c r="AJ149" i="5"/>
  <c r="AI149" i="5"/>
  <c r="AH149" i="5"/>
  <c r="AG149" i="5"/>
  <c r="AF149" i="5"/>
  <c r="AQ148" i="5"/>
  <c r="AP148" i="5"/>
  <c r="AO148" i="5"/>
  <c r="AN148" i="5"/>
  <c r="AM148" i="5"/>
  <c r="AL148" i="5"/>
  <c r="AJ148" i="5"/>
  <c r="AI148" i="5"/>
  <c r="AH148" i="5"/>
  <c r="AF148" i="5"/>
  <c r="AQ147" i="5"/>
  <c r="AP147" i="5"/>
  <c r="AO147" i="5"/>
  <c r="AN147" i="5"/>
  <c r="AM147" i="5"/>
  <c r="AL147" i="5"/>
  <c r="AJ147" i="5"/>
  <c r="AI147" i="5"/>
  <c r="AH147" i="5"/>
  <c r="AH205" i="5" s="1"/>
  <c r="AG147" i="5"/>
  <c r="AF147" i="5"/>
  <c r="AQ146" i="5"/>
  <c r="AP146" i="5"/>
  <c r="AO146" i="5"/>
  <c r="AM146" i="5"/>
  <c r="AL146" i="5"/>
  <c r="AK146" i="5"/>
  <c r="AJ146" i="5"/>
  <c r="AI146" i="5"/>
  <c r="AH146" i="5"/>
  <c r="AG146" i="5"/>
  <c r="BC156" i="5"/>
  <c r="BC155" i="5"/>
  <c r="BC163" i="5"/>
  <c r="BC206" i="5" s="1"/>
  <c r="BC168" i="5"/>
  <c r="BC167" i="5"/>
  <c r="BC176" i="5"/>
  <c r="BC187" i="5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AB166" i="1"/>
  <c r="AE30" i="4" s="1"/>
  <c r="AA166" i="1"/>
  <c r="W30" i="4" s="1"/>
  <c r="AB165" i="1"/>
  <c r="AD30" i="4" s="1"/>
  <c r="AA165" i="1"/>
  <c r="V30" i="4" s="1"/>
  <c r="AB164" i="1"/>
  <c r="AC30" i="4" s="1"/>
  <c r="AA164" i="1"/>
  <c r="U30" i="4" s="1"/>
  <c r="AB163" i="1"/>
  <c r="AB30" i="4" s="1"/>
  <c r="AA163" i="1"/>
  <c r="T30" i="4" s="1"/>
  <c r="AE31" i="4" l="1"/>
  <c r="AB257" i="1"/>
  <c r="AG206" i="5"/>
  <c r="K31" i="43"/>
  <c r="K30" i="43"/>
  <c r="BQ34" i="4"/>
  <c r="K31" i="4"/>
  <c r="K38" i="4"/>
  <c r="K30" i="4"/>
  <c r="AI51" i="4"/>
  <c r="AF51" i="4"/>
  <c r="AS38" i="4"/>
  <c r="BC38" i="4" s="1"/>
  <c r="AU30" i="4"/>
  <c r="BE30" i="4" s="1"/>
  <c r="AU31" i="4"/>
  <c r="BE31" i="4" s="1"/>
  <c r="AV38" i="4"/>
  <c r="BF38" i="4" s="1"/>
  <c r="AV30" i="4"/>
  <c r="BF30" i="4" s="1"/>
  <c r="AR30" i="4"/>
  <c r="BB30" i="4" s="1"/>
  <c r="AT30" i="4"/>
  <c r="BD30" i="4" s="1"/>
  <c r="AT38" i="4"/>
  <c r="BD38" i="4" s="1"/>
  <c r="AV31" i="4"/>
  <c r="BF31" i="4" s="1"/>
  <c r="AT31" i="4"/>
  <c r="BD31" i="4" s="1"/>
  <c r="AS30" i="4"/>
  <c r="BC30" i="4" s="1"/>
  <c r="AR38" i="4"/>
  <c r="BB38" i="4" s="1"/>
  <c r="AR31" i="4"/>
  <c r="BB31" i="4" s="1"/>
  <c r="C172" i="1"/>
  <c r="C177" i="1"/>
  <c r="C167" i="1"/>
  <c r="BC166" i="5"/>
  <c r="BC208" i="5" s="1"/>
  <c r="D34" i="43" l="1"/>
  <c r="F38" i="4"/>
  <c r="L38" i="4" s="1"/>
  <c r="F31" i="4"/>
  <c r="BH31" i="4" s="1"/>
  <c r="F30" i="4"/>
  <c r="O30" i="4" s="1"/>
  <c r="BP30" i="4"/>
  <c r="BP31" i="4"/>
  <c r="BP38" i="4"/>
  <c r="BC162" i="5"/>
  <c r="BC205" i="5" s="1"/>
  <c r="BC186" i="5"/>
  <c r="D31" i="43" l="1"/>
  <c r="M38" i="4"/>
  <c r="H34" i="43" s="1"/>
  <c r="BH38" i="4"/>
  <c r="BQ38" i="4" s="1"/>
  <c r="O31" i="4"/>
  <c r="O38" i="4"/>
  <c r="J34" i="43" s="1"/>
  <c r="D30" i="43"/>
  <c r="N30" i="4"/>
  <c r="N38" i="4"/>
  <c r="I34" i="43" s="1"/>
  <c r="M31" i="4"/>
  <c r="M30" i="4"/>
  <c r="BH30" i="4"/>
  <c r="BQ30" i="4" s="1"/>
  <c r="L31" i="4"/>
  <c r="N31" i="4"/>
  <c r="L30" i="4"/>
  <c r="BQ31" i="4"/>
  <c r="BB187" i="5"/>
  <c r="AU33" i="4" s="1"/>
  <c r="BB163" i="5"/>
  <c r="AR5" i="4" s="1"/>
  <c r="BB167" i="5"/>
  <c r="BB175" i="5"/>
  <c r="I31" i="43" l="1"/>
  <c r="J31" i="43"/>
  <c r="H31" i="43"/>
  <c r="J30" i="43"/>
  <c r="I30" i="43"/>
  <c r="H30" i="43"/>
  <c r="J46" i="4"/>
  <c r="BA46" i="4"/>
  <c r="AZ46" i="4"/>
  <c r="BE46" i="4" s="1"/>
  <c r="AY46" i="4"/>
  <c r="AX46" i="4"/>
  <c r="AW46" i="4"/>
  <c r="Q46" i="4"/>
  <c r="H46" i="4"/>
  <c r="G46" i="4"/>
  <c r="AI129" i="5"/>
  <c r="AF129" i="5"/>
  <c r="AE129" i="5"/>
  <c r="AD129" i="5"/>
  <c r="AC129" i="5"/>
  <c r="AB129" i="5"/>
  <c r="AA129" i="5"/>
  <c r="Z129" i="5"/>
  <c r="Y129" i="5"/>
  <c r="X129" i="5"/>
  <c r="W129" i="5"/>
  <c r="AI128" i="5"/>
  <c r="AB128" i="5"/>
  <c r="X128" i="5"/>
  <c r="W128" i="5"/>
  <c r="AI127" i="5"/>
  <c r="AH127" i="5"/>
  <c r="AF127" i="5"/>
  <c r="AE127" i="5"/>
  <c r="AS46" i="4" s="1"/>
  <c r="AD127" i="5"/>
  <c r="AC127" i="5"/>
  <c r="AT46" i="4" s="1"/>
  <c r="AB127" i="5"/>
  <c r="AA127" i="5"/>
  <c r="Z127" i="5"/>
  <c r="Y127" i="5"/>
  <c r="X127" i="5"/>
  <c r="W127" i="5"/>
  <c r="AI126" i="5"/>
  <c r="AF126" i="5"/>
  <c r="AE126" i="5"/>
  <c r="AA126" i="5"/>
  <c r="Y126" i="5"/>
  <c r="X126" i="5"/>
  <c r="O162" i="1"/>
  <c r="N162" i="1"/>
  <c r="M162" i="1"/>
  <c r="L162" i="1"/>
  <c r="K162" i="1"/>
  <c r="Z162" i="1"/>
  <c r="Y162" i="1"/>
  <c r="X162" i="1"/>
  <c r="W162" i="1"/>
  <c r="V162" i="1"/>
  <c r="U162" i="1"/>
  <c r="T162" i="1"/>
  <c r="S162" i="1"/>
  <c r="R162" i="1"/>
  <c r="Q162" i="1"/>
  <c r="P162" i="1"/>
  <c r="J162" i="1"/>
  <c r="I162" i="1"/>
  <c r="H162" i="1"/>
  <c r="G162" i="1"/>
  <c r="F162" i="1"/>
  <c r="E162" i="1"/>
  <c r="D162" i="1"/>
  <c r="AB161" i="1"/>
  <c r="AE46" i="4" s="1"/>
  <c r="AA161" i="1"/>
  <c r="W46" i="4" s="1"/>
  <c r="AB160" i="1"/>
  <c r="AD46" i="4" s="1"/>
  <c r="AA160" i="1"/>
  <c r="V46" i="4" s="1"/>
  <c r="AB159" i="1"/>
  <c r="AC46" i="4" s="1"/>
  <c r="AA159" i="1"/>
  <c r="U46" i="4" s="1"/>
  <c r="AB158" i="1"/>
  <c r="AB46" i="4" s="1"/>
  <c r="AA158" i="1"/>
  <c r="T46" i="4" s="1"/>
  <c r="AR42" i="4"/>
  <c r="AT42" i="4"/>
  <c r="AU42" i="4"/>
  <c r="AV42" i="4"/>
  <c r="J42" i="4"/>
  <c r="G42" i="4"/>
  <c r="H42" i="4"/>
  <c r="Q42" i="4"/>
  <c r="AW42" i="4"/>
  <c r="AX42" i="4"/>
  <c r="BC42" i="4" s="1"/>
  <c r="AY42" i="4"/>
  <c r="AZ42" i="4"/>
  <c r="BA42" i="4"/>
  <c r="W85" i="5"/>
  <c r="V85" i="5"/>
  <c r="U85" i="5"/>
  <c r="T85" i="5"/>
  <c r="S85" i="5"/>
  <c r="R85" i="5"/>
  <c r="Q85" i="5"/>
  <c r="P85" i="5"/>
  <c r="O85" i="5"/>
  <c r="N85" i="5"/>
  <c r="M85" i="5"/>
  <c r="L85" i="5"/>
  <c r="Y84" i="5"/>
  <c r="W84" i="5"/>
  <c r="V84" i="5"/>
  <c r="U84" i="5"/>
  <c r="T84" i="5"/>
  <c r="S84" i="5"/>
  <c r="R84" i="5"/>
  <c r="Q84" i="5"/>
  <c r="P84" i="5"/>
  <c r="O84" i="5"/>
  <c r="N84" i="5"/>
  <c r="M84" i="5"/>
  <c r="L84" i="5"/>
  <c r="U83" i="5"/>
  <c r="T83" i="5"/>
  <c r="M83" i="5"/>
  <c r="W82" i="5"/>
  <c r="V82" i="5"/>
  <c r="U82" i="5"/>
  <c r="S82" i="5"/>
  <c r="R82" i="5"/>
  <c r="Q82" i="5"/>
  <c r="P82" i="5"/>
  <c r="O82" i="5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AB156" i="1"/>
  <c r="AE42" i="4" s="1"/>
  <c r="AA156" i="1"/>
  <c r="W42" i="4" s="1"/>
  <c r="AB155" i="1"/>
  <c r="AD42" i="4" s="1"/>
  <c r="AA155" i="1"/>
  <c r="V42" i="4" s="1"/>
  <c r="AB154" i="1"/>
  <c r="AC42" i="4" s="1"/>
  <c r="AA154" i="1"/>
  <c r="U42" i="4" s="1"/>
  <c r="AB153" i="1"/>
  <c r="AB42" i="4" s="1"/>
  <c r="AA153" i="1"/>
  <c r="T42" i="4" s="1"/>
  <c r="AV3" i="4"/>
  <c r="AR33" i="4"/>
  <c r="AH30" i="4" l="1"/>
  <c r="AG30" i="4"/>
  <c r="AI30" i="4"/>
  <c r="AF30" i="4"/>
  <c r="AI31" i="4"/>
  <c r="AH31" i="4"/>
  <c r="AF31" i="4"/>
  <c r="AG31" i="4"/>
  <c r="K42" i="4"/>
  <c r="AH38" i="4"/>
  <c r="N34" i="43" s="1"/>
  <c r="AG38" i="4"/>
  <c r="M34" i="43" s="1"/>
  <c r="AF38" i="4"/>
  <c r="L34" i="43" s="1"/>
  <c r="AI38" i="4"/>
  <c r="O34" i="43" s="1"/>
  <c r="K46" i="4"/>
  <c r="AR46" i="4"/>
  <c r="BB46" i="4" s="1"/>
  <c r="D258" i="1"/>
  <c r="AV46" i="4"/>
  <c r="BF46" i="4" s="1"/>
  <c r="BD46" i="4"/>
  <c r="BC46" i="4"/>
  <c r="I46" i="4"/>
  <c r="C162" i="1"/>
  <c r="F46" i="4" s="1"/>
  <c r="L46" i="4" s="1"/>
  <c r="BD42" i="4"/>
  <c r="BE42" i="4"/>
  <c r="BF42" i="4"/>
  <c r="I42" i="4"/>
  <c r="BB42" i="4"/>
  <c r="C157" i="1"/>
  <c r="F42" i="4" s="1"/>
  <c r="BB169" i="5"/>
  <c r="BB177" i="5"/>
  <c r="BB189" i="5"/>
  <c r="M31" i="43" l="1"/>
  <c r="L31" i="43"/>
  <c r="N31" i="43"/>
  <c r="O31" i="43"/>
  <c r="BP46" i="4"/>
  <c r="D37" i="43"/>
  <c r="D35" i="43"/>
  <c r="L30" i="43"/>
  <c r="O30" i="43"/>
  <c r="M30" i="43"/>
  <c r="K37" i="43"/>
  <c r="N30" i="43"/>
  <c r="M42" i="4"/>
  <c r="AG46" i="4"/>
  <c r="AF42" i="4"/>
  <c r="AH46" i="4"/>
  <c r="AI46" i="4"/>
  <c r="AG42" i="4"/>
  <c r="M46" i="4"/>
  <c r="O46" i="4"/>
  <c r="N46" i="4"/>
  <c r="BH46" i="4"/>
  <c r="AF46" i="4"/>
  <c r="O42" i="4"/>
  <c r="L42" i="4"/>
  <c r="BH42" i="4"/>
  <c r="N42" i="4"/>
  <c r="BP42" i="4"/>
  <c r="AB3" i="1"/>
  <c r="AB4" i="4" s="1"/>
  <c r="BB186" i="5"/>
  <c r="BB207" i="5" s="1"/>
  <c r="BB166" i="5"/>
  <c r="BB208" i="5" s="1"/>
  <c r="BB162" i="5"/>
  <c r="BB154" i="5"/>
  <c r="BB206" i="5" s="1"/>
  <c r="BQ46" i="4" l="1"/>
  <c r="J37" i="43"/>
  <c r="M37" i="43"/>
  <c r="L37" i="43"/>
  <c r="I37" i="43"/>
  <c r="H37" i="43"/>
  <c r="AH42" i="4"/>
  <c r="AI42" i="4"/>
  <c r="BQ42" i="4"/>
  <c r="BA165" i="5"/>
  <c r="BA169" i="5"/>
  <c r="BA189" i="5"/>
  <c r="O37" i="43" l="1"/>
  <c r="N37" i="43"/>
  <c r="BA156" i="5"/>
  <c r="BA164" i="5"/>
  <c r="BA168" i="5"/>
  <c r="BA188" i="5"/>
  <c r="AV25" i="4" l="1"/>
  <c r="AU16" i="4"/>
  <c r="AT3" i="4"/>
  <c r="AT4" i="4"/>
  <c r="AV4" i="4"/>
  <c r="AR4" i="4"/>
  <c r="BJ33" i="4"/>
  <c r="AT33" i="4"/>
  <c r="AS33" i="4"/>
  <c r="BA33" i="4"/>
  <c r="AZ33" i="4"/>
  <c r="AY33" i="4"/>
  <c r="AX33" i="4"/>
  <c r="AW33" i="4"/>
  <c r="BB33" i="4" s="1"/>
  <c r="J33" i="4"/>
  <c r="H33" i="4"/>
  <c r="G33" i="4"/>
  <c r="BE33" i="4" l="1"/>
  <c r="BF33" i="4"/>
  <c r="BD33" i="4"/>
  <c r="BC33" i="4"/>
  <c r="I33" i="4"/>
  <c r="AZ189" i="5"/>
  <c r="AY189" i="5"/>
  <c r="AX189" i="5"/>
  <c r="AW189" i="5"/>
  <c r="AV189" i="5"/>
  <c r="AZ188" i="5"/>
  <c r="AY188" i="5"/>
  <c r="AX188" i="5"/>
  <c r="AW188" i="5"/>
  <c r="AV188" i="5"/>
  <c r="BA187" i="5"/>
  <c r="AZ187" i="5"/>
  <c r="AY187" i="5"/>
  <c r="AX187" i="5"/>
  <c r="AW187" i="5"/>
  <c r="AV187" i="5"/>
  <c r="BA186" i="5"/>
  <c r="AZ186" i="5"/>
  <c r="AY186" i="5"/>
  <c r="AX186" i="5"/>
  <c r="AW186" i="5"/>
  <c r="AV186" i="5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AB151" i="1"/>
  <c r="AE33" i="4" s="1"/>
  <c r="AA151" i="1"/>
  <c r="W33" i="4" s="1"/>
  <c r="AB150" i="1"/>
  <c r="AD33" i="4" s="1"/>
  <c r="AA150" i="1"/>
  <c r="V33" i="4" s="1"/>
  <c r="AB149" i="1"/>
  <c r="AC33" i="4" s="1"/>
  <c r="AA149" i="1"/>
  <c r="U33" i="4" s="1"/>
  <c r="AB148" i="1"/>
  <c r="AB33" i="4" s="1"/>
  <c r="AA148" i="1"/>
  <c r="T33" i="4" s="1"/>
  <c r="BA155" i="5"/>
  <c r="BA166" i="5"/>
  <c r="BA162" i="5"/>
  <c r="BA163" i="5"/>
  <c r="BA167" i="5"/>
  <c r="BA205" i="5"/>
  <c r="BA174" i="5"/>
  <c r="BA179" i="5"/>
  <c r="K32" i="43" l="1"/>
  <c r="K36" i="43"/>
  <c r="BA206" i="5"/>
  <c r="K33" i="4"/>
  <c r="BA208" i="5"/>
  <c r="BA207" i="5"/>
  <c r="BP33" i="4"/>
  <c r="C152" i="1"/>
  <c r="E22" i="2"/>
  <c r="R37" i="53"/>
  <c r="R36" i="53"/>
  <c r="V9" i="53"/>
  <c r="Y9" i="53"/>
  <c r="Z9" i="53"/>
  <c r="AA9" i="53"/>
  <c r="AB9" i="53"/>
  <c r="AC9" i="53"/>
  <c r="AD9" i="53"/>
  <c r="AE9" i="53"/>
  <c r="AF9" i="53"/>
  <c r="V10" i="53"/>
  <c r="BA154" i="5"/>
  <c r="D32" i="43" l="1"/>
  <c r="F33" i="4"/>
  <c r="D36" i="43" s="1"/>
  <c r="AF33" i="4"/>
  <c r="AU24" i="4"/>
  <c r="AS25" i="4"/>
  <c r="M33" i="4" l="1"/>
  <c r="H36" i="43" s="1"/>
  <c r="L33" i="4"/>
  <c r="O33" i="4"/>
  <c r="J36" i="43" s="1"/>
  <c r="N33" i="4"/>
  <c r="I36" i="43" s="1"/>
  <c r="BH33" i="4"/>
  <c r="BQ33" i="4" s="1"/>
  <c r="H32" i="43"/>
  <c r="L32" i="43"/>
  <c r="L36" i="43"/>
  <c r="J32" i="43"/>
  <c r="I32" i="43"/>
  <c r="AG33" i="4"/>
  <c r="AH33" i="4"/>
  <c r="AI33" i="4"/>
  <c r="AZ157" i="5"/>
  <c r="AZ165" i="5"/>
  <c r="AZ169" i="5"/>
  <c r="AZ177" i="5"/>
  <c r="AZ181" i="5"/>
  <c r="O32" i="43" l="1"/>
  <c r="O36" i="43"/>
  <c r="N32" i="43"/>
  <c r="N36" i="43"/>
  <c r="M32" i="43"/>
  <c r="M36" i="43"/>
  <c r="BJ35" i="4"/>
  <c r="AV35" i="4" l="1"/>
  <c r="AU35" i="4"/>
  <c r="AT35" i="4"/>
  <c r="AS35" i="4"/>
  <c r="AR35" i="4"/>
  <c r="BA35" i="4"/>
  <c r="AZ35" i="4"/>
  <c r="AY35" i="4"/>
  <c r="AX35" i="4"/>
  <c r="AW35" i="4"/>
  <c r="Q35" i="4"/>
  <c r="J35" i="4"/>
  <c r="H35" i="4"/>
  <c r="G35" i="4"/>
  <c r="AK113" i="5"/>
  <c r="AK111" i="5"/>
  <c r="AJ113" i="5"/>
  <c r="AI113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AJ112" i="5"/>
  <c r="AI112" i="5"/>
  <c r="AH112" i="5"/>
  <c r="AF112" i="5"/>
  <c r="AE112" i="5"/>
  <c r="AD112" i="5"/>
  <c r="AC112" i="5"/>
  <c r="AB112" i="5"/>
  <c r="AA112" i="5"/>
  <c r="Z112" i="5"/>
  <c r="Y112" i="5"/>
  <c r="X112" i="5"/>
  <c r="W112" i="5"/>
  <c r="V112" i="5"/>
  <c r="AJ111" i="5"/>
  <c r="AI111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AJ110" i="5"/>
  <c r="AI110" i="5"/>
  <c r="AH110" i="5"/>
  <c r="AG110" i="5"/>
  <c r="AF110" i="5"/>
  <c r="AE110" i="5"/>
  <c r="AD110" i="5"/>
  <c r="AC110" i="5"/>
  <c r="AA110" i="5"/>
  <c r="Z110" i="5"/>
  <c r="U113" i="5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AB146" i="1"/>
  <c r="AE35" i="4" s="1"/>
  <c r="AA146" i="1"/>
  <c r="W35" i="4" s="1"/>
  <c r="AB145" i="1"/>
  <c r="AD35" i="4" s="1"/>
  <c r="AA145" i="1"/>
  <c r="V35" i="4" s="1"/>
  <c r="AB144" i="1"/>
  <c r="AC35" i="4" s="1"/>
  <c r="AA144" i="1"/>
  <c r="U35" i="4" s="1"/>
  <c r="AB143" i="1"/>
  <c r="AB35" i="4" s="1"/>
  <c r="AA143" i="1"/>
  <c r="T35" i="4" s="1"/>
  <c r="AD207" i="5" l="1"/>
  <c r="AE206" i="5"/>
  <c r="AE207" i="5"/>
  <c r="I35" i="4"/>
  <c r="BB35" i="4"/>
  <c r="BC35" i="4"/>
  <c r="BE35" i="4"/>
  <c r="BD35" i="4"/>
  <c r="BF35" i="4"/>
  <c r="C147" i="1"/>
  <c r="K35" i="4"/>
  <c r="AY181" i="5"/>
  <c r="AX181" i="5"/>
  <c r="AU181" i="5"/>
  <c r="AT181" i="5"/>
  <c r="AS181" i="5"/>
  <c r="AQ181" i="5"/>
  <c r="AP181" i="5"/>
  <c r="AO181" i="5"/>
  <c r="AZ180" i="5"/>
  <c r="AY180" i="5"/>
  <c r="AX180" i="5"/>
  <c r="AU180" i="5"/>
  <c r="AT180" i="5"/>
  <c r="AS180" i="5"/>
  <c r="AQ180" i="5"/>
  <c r="AP180" i="5"/>
  <c r="AO180" i="5"/>
  <c r="AZ179" i="5"/>
  <c r="AY179" i="5"/>
  <c r="AT179" i="5"/>
  <c r="AS179" i="5"/>
  <c r="AQ179" i="5"/>
  <c r="AP179" i="5"/>
  <c r="AO179" i="5"/>
  <c r="AZ178" i="5"/>
  <c r="AV178" i="5"/>
  <c r="AU178" i="5"/>
  <c r="AT178" i="5"/>
  <c r="AS178" i="5"/>
  <c r="AR178" i="5"/>
  <c r="AQ178" i="5"/>
  <c r="AP178" i="5"/>
  <c r="AO178" i="5"/>
  <c r="AN181" i="5"/>
  <c r="AN179" i="5"/>
  <c r="BJ25" i="4"/>
  <c r="AU25" i="4"/>
  <c r="AT25" i="4"/>
  <c r="AR25" i="4"/>
  <c r="BA25" i="4"/>
  <c r="AZ25" i="4"/>
  <c r="AY25" i="4"/>
  <c r="AX25" i="4"/>
  <c r="BC25" i="4" s="1"/>
  <c r="AW25" i="4"/>
  <c r="Q25" i="4"/>
  <c r="J25" i="4"/>
  <c r="H25" i="4"/>
  <c r="G25" i="4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AB141" i="1"/>
  <c r="AE25" i="4" s="1"/>
  <c r="AA141" i="1"/>
  <c r="W25" i="4" s="1"/>
  <c r="AB140" i="1"/>
  <c r="AD25" i="4" s="1"/>
  <c r="AA140" i="1"/>
  <c r="V25" i="4" s="1"/>
  <c r="AB139" i="1"/>
  <c r="AC25" i="4" s="1"/>
  <c r="AA139" i="1"/>
  <c r="U25" i="4" s="1"/>
  <c r="AB138" i="1"/>
  <c r="AB25" i="4" s="1"/>
  <c r="AA138" i="1"/>
  <c r="T25" i="4" s="1"/>
  <c r="K33" i="43" l="1"/>
  <c r="K39" i="43"/>
  <c r="D33" i="43"/>
  <c r="F35" i="4"/>
  <c r="BP35" i="4"/>
  <c r="AI35" i="4"/>
  <c r="BB25" i="4"/>
  <c r="BE25" i="4"/>
  <c r="BD25" i="4"/>
  <c r="I25" i="4"/>
  <c r="BF25" i="4"/>
  <c r="K25" i="4"/>
  <c r="C142" i="1"/>
  <c r="BJ24" i="4"/>
  <c r="AS24" i="4"/>
  <c r="AR24" i="4"/>
  <c r="J24" i="4"/>
  <c r="BA24" i="4"/>
  <c r="AZ24" i="4"/>
  <c r="AY24" i="4"/>
  <c r="AX24" i="4"/>
  <c r="AW24" i="4"/>
  <c r="Q24" i="4"/>
  <c r="H24" i="4"/>
  <c r="G24" i="4"/>
  <c r="AZ207" i="5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AB136" i="1"/>
  <c r="AE24" i="4" s="1"/>
  <c r="AA136" i="1"/>
  <c r="W24" i="4" s="1"/>
  <c r="AB135" i="1"/>
  <c r="AD24" i="4" s="1"/>
  <c r="AA135" i="1"/>
  <c r="V24" i="4" s="1"/>
  <c r="AB134" i="1"/>
  <c r="AC24" i="4" s="1"/>
  <c r="AA134" i="1"/>
  <c r="U24" i="4" s="1"/>
  <c r="AB133" i="1"/>
  <c r="AB24" i="4" s="1"/>
  <c r="AA133" i="1"/>
  <c r="T24" i="4" s="1"/>
  <c r="O33" i="43" l="1"/>
  <c r="O39" i="43"/>
  <c r="M35" i="4"/>
  <c r="D39" i="43"/>
  <c r="N35" i="4"/>
  <c r="O35" i="4"/>
  <c r="L35" i="4"/>
  <c r="F25" i="4"/>
  <c r="M25" i="4" s="1"/>
  <c r="BH35" i="4"/>
  <c r="BQ35" i="4" s="1"/>
  <c r="BP25" i="4"/>
  <c r="K24" i="4"/>
  <c r="AH35" i="4"/>
  <c r="AF35" i="4"/>
  <c r="AG35" i="4"/>
  <c r="AI25" i="4"/>
  <c r="I24" i="4"/>
  <c r="C137" i="1"/>
  <c r="BE24" i="4"/>
  <c r="BD24" i="4"/>
  <c r="BC24" i="4"/>
  <c r="BF24" i="4"/>
  <c r="BB24" i="4"/>
  <c r="J4" i="53"/>
  <c r="J33" i="43" l="1"/>
  <c r="J39" i="43"/>
  <c r="L33" i="43"/>
  <c r="L39" i="43"/>
  <c r="M33" i="43"/>
  <c r="M39" i="43"/>
  <c r="I33" i="43"/>
  <c r="I39" i="43"/>
  <c r="N33" i="43"/>
  <c r="N39" i="43"/>
  <c r="H33" i="43"/>
  <c r="H39" i="43"/>
  <c r="L25" i="4"/>
  <c r="N25" i="4"/>
  <c r="O25" i="4"/>
  <c r="BH25" i="4"/>
  <c r="BQ25" i="4" s="1"/>
  <c r="F24" i="4"/>
  <c r="D25" i="43" s="1"/>
  <c r="K25" i="43"/>
  <c r="BP24" i="4"/>
  <c r="AG25" i="4"/>
  <c r="AF25" i="4"/>
  <c r="AH25" i="4"/>
  <c r="AH24" i="4"/>
  <c r="Q36" i="53"/>
  <c r="Q37" i="53"/>
  <c r="P36" i="53"/>
  <c r="P37" i="53"/>
  <c r="O36" i="53"/>
  <c r="N36" i="53"/>
  <c r="M36" i="53"/>
  <c r="L36" i="53"/>
  <c r="H33" i="53"/>
  <c r="H33" i="54" s="1"/>
  <c r="H34" i="53"/>
  <c r="H36" i="53"/>
  <c r="H36" i="54" s="1"/>
  <c r="H35" i="53"/>
  <c r="H37" i="53"/>
  <c r="H37" i="54" s="1"/>
  <c r="AF26" i="53"/>
  <c r="AF25" i="53"/>
  <c r="AF27" i="53"/>
  <c r="AF23" i="53"/>
  <c r="AE25" i="53"/>
  <c r="AE27" i="53"/>
  <c r="AE23" i="53"/>
  <c r="AD25" i="53"/>
  <c r="AD27" i="53"/>
  <c r="AD23" i="53"/>
  <c r="AC25" i="53"/>
  <c r="AC27" i="53"/>
  <c r="AB25" i="53"/>
  <c r="AB27" i="53"/>
  <c r="AA24" i="53"/>
  <c r="AA25" i="53"/>
  <c r="AA27" i="53"/>
  <c r="Z24" i="53"/>
  <c r="Z25" i="53"/>
  <c r="Z27" i="53"/>
  <c r="Y24" i="53"/>
  <c r="Y21" i="53"/>
  <c r="Y27" i="53"/>
  <c r="X24" i="53"/>
  <c r="X21" i="53"/>
  <c r="X27" i="53"/>
  <c r="W24" i="53"/>
  <c r="W24" i="54" s="1"/>
  <c r="W21" i="53"/>
  <c r="W21" i="54" s="1"/>
  <c r="V24" i="53"/>
  <c r="V24" i="54" s="1"/>
  <c r="V21" i="53"/>
  <c r="V21" i="54" s="1"/>
  <c r="V22" i="53"/>
  <c r="V22" i="54" s="1"/>
  <c r="V19" i="53"/>
  <c r="V19" i="54" s="1"/>
  <c r="V20" i="53"/>
  <c r="V20" i="54" s="1"/>
  <c r="V26" i="53"/>
  <c r="V26" i="54" s="1"/>
  <c r="V25" i="53"/>
  <c r="V25" i="54" s="1"/>
  <c r="V27" i="53"/>
  <c r="V27" i="54" s="1"/>
  <c r="V23" i="53"/>
  <c r="V23" i="54" s="1"/>
  <c r="Q28" i="53"/>
  <c r="Q21" i="53"/>
  <c r="Q27" i="53"/>
  <c r="Q23" i="53"/>
  <c r="Q24" i="53"/>
  <c r="Q25" i="53"/>
  <c r="R21" i="53"/>
  <c r="R27" i="53"/>
  <c r="R23" i="53"/>
  <c r="R24" i="53"/>
  <c r="R25" i="53"/>
  <c r="P28" i="53"/>
  <c r="P21" i="53"/>
  <c r="P27" i="53"/>
  <c r="P23" i="53"/>
  <c r="P24" i="53"/>
  <c r="P25" i="53"/>
  <c r="O28" i="53"/>
  <c r="O29" i="53"/>
  <c r="O23" i="53"/>
  <c r="O24" i="53"/>
  <c r="O25" i="53"/>
  <c r="N28" i="53"/>
  <c r="N29" i="53"/>
  <c r="N26" i="53"/>
  <c r="N23" i="53"/>
  <c r="N24" i="53"/>
  <c r="N25" i="53"/>
  <c r="M28" i="53"/>
  <c r="M29" i="53"/>
  <c r="M26" i="53"/>
  <c r="M24" i="53"/>
  <c r="M25" i="53"/>
  <c r="L28" i="53"/>
  <c r="L29" i="53"/>
  <c r="L26" i="53"/>
  <c r="L24" i="53"/>
  <c r="L25" i="53"/>
  <c r="K28" i="53"/>
  <c r="K29" i="53"/>
  <c r="K26" i="53"/>
  <c r="J28" i="53"/>
  <c r="J29" i="53"/>
  <c r="J26" i="53"/>
  <c r="I28" i="53"/>
  <c r="I28" i="54" s="1"/>
  <c r="I29" i="53"/>
  <c r="I29" i="54" s="1"/>
  <c r="I26" i="53"/>
  <c r="I26" i="54" s="1"/>
  <c r="H28" i="53"/>
  <c r="H28" i="54" s="1"/>
  <c r="H29" i="53"/>
  <c r="H29" i="54" s="1"/>
  <c r="H26" i="53"/>
  <c r="H26" i="54" s="1"/>
  <c r="H18" i="53"/>
  <c r="H18" i="54" s="1"/>
  <c r="H20" i="53"/>
  <c r="H20" i="54" s="1"/>
  <c r="H19" i="53"/>
  <c r="H19" i="54" s="1"/>
  <c r="H22" i="53"/>
  <c r="H22" i="54" s="1"/>
  <c r="H21" i="53"/>
  <c r="H21" i="54" s="1"/>
  <c r="H27" i="53"/>
  <c r="H27" i="54" s="1"/>
  <c r="H23" i="53"/>
  <c r="H23" i="54" s="1"/>
  <c r="H24" i="53"/>
  <c r="H24" i="54" s="1"/>
  <c r="H25" i="53"/>
  <c r="H25" i="54" s="1"/>
  <c r="AF14" i="53"/>
  <c r="AE14" i="53"/>
  <c r="AD13" i="53"/>
  <c r="AD12" i="53"/>
  <c r="AD14" i="53"/>
  <c r="AC13" i="53"/>
  <c r="AC12" i="53"/>
  <c r="AC14" i="53"/>
  <c r="AB13" i="53"/>
  <c r="AB12" i="53"/>
  <c r="AB11" i="53"/>
  <c r="AB14" i="53"/>
  <c r="AA13" i="53"/>
  <c r="AA12" i="53"/>
  <c r="AA11" i="53"/>
  <c r="AA14" i="53"/>
  <c r="Z13" i="53"/>
  <c r="Z12" i="53"/>
  <c r="Z11" i="53"/>
  <c r="Z7" i="53"/>
  <c r="Y13" i="53"/>
  <c r="Y12" i="53"/>
  <c r="Y11" i="53"/>
  <c r="Y7" i="53"/>
  <c r="Y8" i="53"/>
  <c r="X13" i="53"/>
  <c r="X12" i="53"/>
  <c r="X11" i="53"/>
  <c r="X7" i="53"/>
  <c r="X8" i="53"/>
  <c r="W13" i="53"/>
  <c r="W13" i="54" s="1"/>
  <c r="W12" i="53"/>
  <c r="W12" i="54" s="1"/>
  <c r="W11" i="53"/>
  <c r="W11" i="54" s="1"/>
  <c r="W7" i="53"/>
  <c r="W7" i="54" s="1"/>
  <c r="W8" i="53"/>
  <c r="W8" i="54" s="1"/>
  <c r="W4" i="53"/>
  <c r="W4" i="54" s="1"/>
  <c r="V13" i="53"/>
  <c r="V13" i="54" s="1"/>
  <c r="V12" i="53"/>
  <c r="V12" i="54" s="1"/>
  <c r="V11" i="53"/>
  <c r="V11" i="54" s="1"/>
  <c r="V7" i="53"/>
  <c r="V7" i="54" s="1"/>
  <c r="V8" i="53"/>
  <c r="V8" i="54" s="1"/>
  <c r="V4" i="53"/>
  <c r="V4" i="54" s="1"/>
  <c r="V3" i="53"/>
  <c r="V3" i="54" s="1"/>
  <c r="V5" i="53"/>
  <c r="V5" i="54" s="1"/>
  <c r="V9" i="54"/>
  <c r="V6" i="53"/>
  <c r="V6" i="54" s="1"/>
  <c r="V10" i="54"/>
  <c r="V14" i="53"/>
  <c r="V14" i="54" s="1"/>
  <c r="P12" i="53"/>
  <c r="O12" i="53"/>
  <c r="N12" i="53"/>
  <c r="M12" i="53"/>
  <c r="L12" i="53"/>
  <c r="K12" i="53"/>
  <c r="J12" i="53"/>
  <c r="O10" i="53"/>
  <c r="N10" i="53"/>
  <c r="M10" i="53"/>
  <c r="L10" i="53"/>
  <c r="K10" i="53"/>
  <c r="J10" i="53"/>
  <c r="K4" i="53"/>
  <c r="R6" i="53"/>
  <c r="R7" i="53"/>
  <c r="R11" i="53"/>
  <c r="Q11" i="53"/>
  <c r="I12" i="53"/>
  <c r="I12" i="54" s="1"/>
  <c r="I10" i="53"/>
  <c r="I10" i="54" s="1"/>
  <c r="I4" i="53"/>
  <c r="I4" i="54" s="1"/>
  <c r="J4" i="54" s="1"/>
  <c r="H12" i="53"/>
  <c r="H12" i="54" s="1"/>
  <c r="H10" i="53"/>
  <c r="H10" i="54" s="1"/>
  <c r="H4" i="53"/>
  <c r="H4" i="54" s="1"/>
  <c r="H3" i="53"/>
  <c r="H3" i="54" s="1"/>
  <c r="H5" i="53"/>
  <c r="H5" i="54" s="1"/>
  <c r="H9" i="53"/>
  <c r="H9" i="54" s="1"/>
  <c r="H8" i="53"/>
  <c r="H8" i="54" s="1"/>
  <c r="H6" i="53"/>
  <c r="H6" i="54" s="1"/>
  <c r="H7" i="53"/>
  <c r="H7" i="54" s="1"/>
  <c r="H11" i="53"/>
  <c r="H11" i="54" s="1"/>
  <c r="B7" i="53"/>
  <c r="B7" i="54" s="1"/>
  <c r="B5" i="53"/>
  <c r="B5" i="54" s="1"/>
  <c r="B6" i="53"/>
  <c r="B6" i="54" s="1"/>
  <c r="B4" i="53"/>
  <c r="B4" i="54" s="1"/>
  <c r="B3" i="53"/>
  <c r="B3" i="54" s="1"/>
  <c r="AZ4" i="4"/>
  <c r="AU4" i="4"/>
  <c r="AZ3" i="4"/>
  <c r="AU3" i="4"/>
  <c r="AZ5" i="4"/>
  <c r="AZ6" i="4"/>
  <c r="AU6" i="4"/>
  <c r="AZ7" i="4"/>
  <c r="AU7" i="4"/>
  <c r="AZ9" i="4"/>
  <c r="AU9" i="4"/>
  <c r="AZ8" i="4"/>
  <c r="AU8" i="4"/>
  <c r="AZ10" i="4"/>
  <c r="AU10" i="4"/>
  <c r="AZ11" i="4"/>
  <c r="AU11" i="4"/>
  <c r="AZ12" i="4"/>
  <c r="AU12" i="4"/>
  <c r="AZ13" i="4"/>
  <c r="AU13" i="4"/>
  <c r="AZ14" i="4"/>
  <c r="AU14" i="4"/>
  <c r="AZ15" i="4"/>
  <c r="AU15" i="4"/>
  <c r="AZ17" i="4"/>
  <c r="AU17" i="4"/>
  <c r="AZ18" i="4"/>
  <c r="AU18" i="4"/>
  <c r="AZ19" i="4"/>
  <c r="AU19" i="4"/>
  <c r="AZ16" i="4"/>
  <c r="AZ20" i="4"/>
  <c r="AU20" i="4"/>
  <c r="AZ21" i="4"/>
  <c r="AU21" i="4"/>
  <c r="AZ22" i="4"/>
  <c r="AU22" i="4"/>
  <c r="AZ23" i="4"/>
  <c r="AU23" i="4"/>
  <c r="AZ26" i="4"/>
  <c r="AU26" i="4"/>
  <c r="AZ27" i="4"/>
  <c r="AU27" i="4"/>
  <c r="AZ28" i="4"/>
  <c r="AU28" i="4"/>
  <c r="AZ29" i="4"/>
  <c r="AU29" i="4"/>
  <c r="AY4" i="4"/>
  <c r="AY3" i="4"/>
  <c r="AY5" i="4"/>
  <c r="AY6" i="4"/>
  <c r="AT6" i="4"/>
  <c r="AY7" i="4"/>
  <c r="AT7" i="4"/>
  <c r="AY9" i="4"/>
  <c r="AT9" i="4"/>
  <c r="AY8" i="4"/>
  <c r="AT8" i="4"/>
  <c r="AY10" i="4"/>
  <c r="AT10" i="4"/>
  <c r="AY11" i="4"/>
  <c r="AT11" i="4"/>
  <c r="AY12" i="4"/>
  <c r="AT12" i="4"/>
  <c r="AY13" i="4"/>
  <c r="AT13" i="4"/>
  <c r="AY14" i="4"/>
  <c r="AT14" i="4"/>
  <c r="AY15" i="4"/>
  <c r="AT15" i="4"/>
  <c r="AY17" i="4"/>
  <c r="AT17" i="4"/>
  <c r="AY18" i="4"/>
  <c r="AT18" i="4"/>
  <c r="AY19" i="4"/>
  <c r="AT19" i="4"/>
  <c r="AY16" i="4"/>
  <c r="AT16" i="4"/>
  <c r="AY20" i="4"/>
  <c r="AT20" i="4"/>
  <c r="AY21" i="4"/>
  <c r="AT21" i="4"/>
  <c r="AY22" i="4"/>
  <c r="AT22" i="4"/>
  <c r="AY23" i="4"/>
  <c r="AT23" i="4"/>
  <c r="AY26" i="4"/>
  <c r="BD26" i="4" s="1"/>
  <c r="AY27" i="4"/>
  <c r="AT27" i="4"/>
  <c r="AY28" i="4"/>
  <c r="AT28" i="4"/>
  <c r="AY29" i="4"/>
  <c r="AT29" i="4"/>
  <c r="AX4" i="4"/>
  <c r="AS4" i="4"/>
  <c r="AX3" i="4"/>
  <c r="AX5" i="4"/>
  <c r="AX6" i="4"/>
  <c r="AS6" i="4"/>
  <c r="AX7" i="4"/>
  <c r="AS7" i="4"/>
  <c r="AX9" i="4"/>
  <c r="AS9" i="4"/>
  <c r="AX8" i="4"/>
  <c r="AS8" i="4"/>
  <c r="AX10" i="4"/>
  <c r="AS10" i="4"/>
  <c r="AX11" i="4"/>
  <c r="AS11" i="4"/>
  <c r="AX12" i="4"/>
  <c r="AS12" i="4"/>
  <c r="AX13" i="4"/>
  <c r="AS13" i="4"/>
  <c r="AX14" i="4"/>
  <c r="AS14" i="4"/>
  <c r="AX15" i="4"/>
  <c r="AS15" i="4"/>
  <c r="AX17" i="4"/>
  <c r="AS17" i="4"/>
  <c r="AX18" i="4"/>
  <c r="AS18" i="4"/>
  <c r="AX19" i="4"/>
  <c r="AS19" i="4"/>
  <c r="AX16" i="4"/>
  <c r="AS16" i="4"/>
  <c r="AX20" i="4"/>
  <c r="AS20" i="4"/>
  <c r="AX21" i="4"/>
  <c r="AS21" i="4"/>
  <c r="AX22" i="4"/>
  <c r="AS22" i="4"/>
  <c r="AX23" i="4"/>
  <c r="AS23" i="4"/>
  <c r="AX26" i="4"/>
  <c r="AS26" i="4"/>
  <c r="AX27" i="4"/>
  <c r="AS27" i="4"/>
  <c r="AX28" i="4"/>
  <c r="AS28" i="4"/>
  <c r="AX29" i="4"/>
  <c r="AS29" i="4"/>
  <c r="AW4" i="4"/>
  <c r="AW3" i="4"/>
  <c r="AW5" i="4"/>
  <c r="AW6" i="4"/>
  <c r="AR6" i="4"/>
  <c r="AW7" i="4"/>
  <c r="AR7" i="4"/>
  <c r="AW9" i="4"/>
  <c r="AR9" i="4"/>
  <c r="AW8" i="4"/>
  <c r="AR8" i="4"/>
  <c r="AW10" i="4"/>
  <c r="AR10" i="4"/>
  <c r="AW11" i="4"/>
  <c r="AR11" i="4"/>
  <c r="AW12" i="4"/>
  <c r="AR12" i="4"/>
  <c r="AW13" i="4"/>
  <c r="AR13" i="4"/>
  <c r="AW14" i="4"/>
  <c r="AR14" i="4"/>
  <c r="AW15" i="4"/>
  <c r="AR15" i="4"/>
  <c r="AW17" i="4"/>
  <c r="AR17" i="4"/>
  <c r="AW18" i="4"/>
  <c r="AR18" i="4"/>
  <c r="AW19" i="4"/>
  <c r="AR19" i="4"/>
  <c r="AW16" i="4"/>
  <c r="AR16" i="4"/>
  <c r="AW20" i="4"/>
  <c r="AR20" i="4"/>
  <c r="AW21" i="4"/>
  <c r="AR21" i="4"/>
  <c r="AW22" i="4"/>
  <c r="AR22" i="4"/>
  <c r="AW23" i="4"/>
  <c r="AR23" i="4"/>
  <c r="AW26" i="4"/>
  <c r="AR26" i="4"/>
  <c r="AW27" i="4"/>
  <c r="AR27" i="4"/>
  <c r="AW28" i="4"/>
  <c r="AR28" i="4"/>
  <c r="AW29" i="4"/>
  <c r="AR29" i="4"/>
  <c r="AR158" i="5"/>
  <c r="AS161" i="5"/>
  <c r="BK3" i="4"/>
  <c r="BJ3" i="4" s="1"/>
  <c r="BK5" i="4"/>
  <c r="BJ5" i="4" s="1"/>
  <c r="BJ6" i="4"/>
  <c r="BJ7" i="4"/>
  <c r="BK8" i="4"/>
  <c r="BJ8" i="4" s="1"/>
  <c r="BJ11" i="4"/>
  <c r="BJ12" i="4"/>
  <c r="BJ13" i="4"/>
  <c r="BJ14" i="4"/>
  <c r="BJ15" i="4"/>
  <c r="BJ17" i="4"/>
  <c r="BJ18" i="4"/>
  <c r="BJ19" i="4"/>
  <c r="BK16" i="4"/>
  <c r="BJ16" i="4" s="1"/>
  <c r="BJ20" i="4"/>
  <c r="BJ21" i="4"/>
  <c r="BJ23" i="4"/>
  <c r="BJ26" i="4"/>
  <c r="BJ27" i="4"/>
  <c r="BJ28" i="4"/>
  <c r="BJ29" i="4"/>
  <c r="N132" i="1"/>
  <c r="O132" i="1"/>
  <c r="P132" i="1"/>
  <c r="BJ22" i="4"/>
  <c r="AV22" i="4"/>
  <c r="BA22" i="4"/>
  <c r="AT158" i="5"/>
  <c r="AT159" i="5"/>
  <c r="AT160" i="5"/>
  <c r="AT161" i="5"/>
  <c r="AS158" i="5"/>
  <c r="AS160" i="5"/>
  <c r="AR159" i="5"/>
  <c r="AR160" i="5"/>
  <c r="AR161" i="5"/>
  <c r="AQ160" i="5"/>
  <c r="AQ158" i="5"/>
  <c r="AQ159" i="5"/>
  <c r="AQ161" i="5"/>
  <c r="AP161" i="5"/>
  <c r="AP158" i="5"/>
  <c r="AP160" i="5"/>
  <c r="AO158" i="5"/>
  <c r="AO160" i="5"/>
  <c r="AO161" i="5"/>
  <c r="AO159" i="5"/>
  <c r="AN161" i="5"/>
  <c r="AN158" i="5"/>
  <c r="AN159" i="5"/>
  <c r="AN160" i="5"/>
  <c r="AM160" i="5"/>
  <c r="AM158" i="5"/>
  <c r="AM159" i="5"/>
  <c r="AM161" i="5"/>
  <c r="AL160" i="5"/>
  <c r="AL158" i="5"/>
  <c r="AL161" i="5"/>
  <c r="AL159" i="5"/>
  <c r="AK159" i="5"/>
  <c r="AK160" i="5"/>
  <c r="AK161" i="5"/>
  <c r="AA131" i="1"/>
  <c r="W22" i="4" s="1"/>
  <c r="AB131" i="1"/>
  <c r="AE22" i="4" s="1"/>
  <c r="AA130" i="1"/>
  <c r="V22" i="4" s="1"/>
  <c r="AB130" i="1"/>
  <c r="AD22" i="4" s="1"/>
  <c r="AA129" i="1"/>
  <c r="U22" i="4" s="1"/>
  <c r="AB129" i="1"/>
  <c r="AC22" i="4" s="1"/>
  <c r="AA128" i="1"/>
  <c r="T22" i="4" s="1"/>
  <c r="AB128" i="1"/>
  <c r="AB22" i="4" s="1"/>
  <c r="G44" i="4"/>
  <c r="H44" i="4"/>
  <c r="G132" i="1"/>
  <c r="H132" i="1"/>
  <c r="I132" i="1"/>
  <c r="J132" i="1"/>
  <c r="K132" i="1"/>
  <c r="L132" i="1"/>
  <c r="M132" i="1"/>
  <c r="G22" i="4"/>
  <c r="Q22" i="4"/>
  <c r="Q44" i="4"/>
  <c r="AW44" i="4"/>
  <c r="AR44" i="4"/>
  <c r="AX44" i="4"/>
  <c r="BC44" i="4" s="1"/>
  <c r="AY44" i="4"/>
  <c r="BD44" i="4" s="1"/>
  <c r="AZ44" i="4"/>
  <c r="AU44" i="4"/>
  <c r="BA4" i="4"/>
  <c r="BA3" i="4"/>
  <c r="BA5" i="4"/>
  <c r="BA6" i="4"/>
  <c r="AV6" i="4"/>
  <c r="BA7" i="4"/>
  <c r="AV7" i="4"/>
  <c r="BA9" i="4"/>
  <c r="AV9" i="4"/>
  <c r="BA8" i="4"/>
  <c r="BA10" i="4"/>
  <c r="AV10" i="4"/>
  <c r="BA11" i="4"/>
  <c r="AV11" i="4"/>
  <c r="BA12" i="4"/>
  <c r="AV12" i="4"/>
  <c r="BA13" i="4"/>
  <c r="AV13" i="4"/>
  <c r="BA14" i="4"/>
  <c r="AV14" i="4"/>
  <c r="BA15" i="4"/>
  <c r="AV15" i="4"/>
  <c r="BA17" i="4"/>
  <c r="AV17" i="4"/>
  <c r="BA18" i="4"/>
  <c r="AV18" i="4"/>
  <c r="BA19" i="4"/>
  <c r="AV19" i="4"/>
  <c r="BA16" i="4"/>
  <c r="BA20" i="4"/>
  <c r="AV20" i="4"/>
  <c r="BA21" i="4"/>
  <c r="AV21" i="4"/>
  <c r="BA23" i="4"/>
  <c r="AV23" i="4"/>
  <c r="BA26" i="4"/>
  <c r="AV26" i="4"/>
  <c r="BA27" i="4"/>
  <c r="AV27" i="4"/>
  <c r="BA28" i="4"/>
  <c r="AV28" i="4"/>
  <c r="BA29" i="4"/>
  <c r="AV29" i="4"/>
  <c r="BA44" i="4"/>
  <c r="H22" i="4"/>
  <c r="J22" i="4"/>
  <c r="AJ161" i="5"/>
  <c r="AI161" i="5"/>
  <c r="AJ160" i="5"/>
  <c r="AI160" i="5"/>
  <c r="AJ159" i="5"/>
  <c r="AI159" i="5"/>
  <c r="AK158" i="5"/>
  <c r="AJ158" i="5"/>
  <c r="AH161" i="5"/>
  <c r="AH21" i="11" s="1"/>
  <c r="V258" i="1"/>
  <c r="Z132" i="1"/>
  <c r="Y132" i="1"/>
  <c r="X132" i="1"/>
  <c r="W132" i="1"/>
  <c r="V132" i="1"/>
  <c r="U132" i="1"/>
  <c r="T132" i="1"/>
  <c r="S132" i="1"/>
  <c r="R132" i="1"/>
  <c r="Q132" i="1"/>
  <c r="F132" i="1"/>
  <c r="E132" i="1"/>
  <c r="D132" i="1"/>
  <c r="Q32" i="5"/>
  <c r="Q33" i="5"/>
  <c r="Q48" i="5"/>
  <c r="Q49" i="5"/>
  <c r="Q52" i="5"/>
  <c r="Q77" i="5"/>
  <c r="Q92" i="5"/>
  <c r="Q98" i="5"/>
  <c r="Q100" i="5"/>
  <c r="Q101" i="5"/>
  <c r="Q35" i="5"/>
  <c r="Q37" i="5"/>
  <c r="P32" i="5"/>
  <c r="P33" i="5"/>
  <c r="P79" i="5"/>
  <c r="P92" i="5"/>
  <c r="P93" i="5"/>
  <c r="P35" i="5"/>
  <c r="P36" i="5"/>
  <c r="P37" i="5"/>
  <c r="O32" i="5"/>
  <c r="O33" i="5"/>
  <c r="O34" i="5"/>
  <c r="O35" i="5"/>
  <c r="O36" i="5"/>
  <c r="O37" i="5"/>
  <c r="O46" i="5"/>
  <c r="O47" i="5"/>
  <c r="O48" i="5"/>
  <c r="O49" i="5"/>
  <c r="O80" i="5"/>
  <c r="O81" i="5"/>
  <c r="O90" i="5"/>
  <c r="O92" i="5"/>
  <c r="N32" i="5"/>
  <c r="N33" i="5"/>
  <c r="N49" i="5"/>
  <c r="N75" i="5"/>
  <c r="N78" i="5"/>
  <c r="N79" i="5"/>
  <c r="N80" i="5"/>
  <c r="N36" i="5"/>
  <c r="N37" i="5"/>
  <c r="M31" i="5"/>
  <c r="M32" i="5"/>
  <c r="M33" i="5"/>
  <c r="M48" i="5"/>
  <c r="M49" i="5"/>
  <c r="M76" i="5"/>
  <c r="M79" i="5"/>
  <c r="M80" i="5"/>
  <c r="M81" i="5"/>
  <c r="M23" i="5"/>
  <c r="M24" i="5"/>
  <c r="M35" i="5"/>
  <c r="M37" i="5"/>
  <c r="L31" i="5"/>
  <c r="L32" i="5"/>
  <c r="L33" i="5"/>
  <c r="L48" i="5"/>
  <c r="L49" i="5"/>
  <c r="L76" i="5"/>
  <c r="L79" i="5"/>
  <c r="L11" i="11" s="1"/>
  <c r="L16" i="5"/>
  <c r="L10" i="5"/>
  <c r="L23" i="5"/>
  <c r="L24" i="5"/>
  <c r="L25" i="5"/>
  <c r="K48" i="5"/>
  <c r="K61" i="5"/>
  <c r="K75" i="5"/>
  <c r="K77" i="5"/>
  <c r="K8" i="5"/>
  <c r="K13" i="5"/>
  <c r="K37" i="5"/>
  <c r="J30" i="5"/>
  <c r="J32" i="5"/>
  <c r="J33" i="5"/>
  <c r="J23" i="5"/>
  <c r="J24" i="5"/>
  <c r="J25" i="5"/>
  <c r="J15" i="5"/>
  <c r="J16" i="5"/>
  <c r="J19" i="5"/>
  <c r="I9" i="5"/>
  <c r="I12" i="5"/>
  <c r="I25" i="5"/>
  <c r="I31" i="5"/>
  <c r="I32" i="5"/>
  <c r="I33" i="5"/>
  <c r="I35" i="5"/>
  <c r="I36" i="5"/>
  <c r="I19" i="5"/>
  <c r="I20" i="5"/>
  <c r="I21" i="5"/>
  <c r="H17" i="5"/>
  <c r="H32" i="5"/>
  <c r="H14" i="5"/>
  <c r="H16" i="5"/>
  <c r="H25" i="5"/>
  <c r="H20" i="5"/>
  <c r="H33" i="5"/>
  <c r="H35" i="5"/>
  <c r="H36" i="5"/>
  <c r="H37" i="5"/>
  <c r="H47" i="5"/>
  <c r="H48" i="5"/>
  <c r="H49" i="5"/>
  <c r="H58" i="5"/>
  <c r="H60" i="5"/>
  <c r="H61" i="5"/>
  <c r="H21" i="5"/>
  <c r="H23" i="5"/>
  <c r="H24" i="5"/>
  <c r="H19" i="5"/>
  <c r="H31" i="5"/>
  <c r="G13" i="5"/>
  <c r="G33" i="5"/>
  <c r="G36" i="5"/>
  <c r="G37" i="5"/>
  <c r="G47" i="5"/>
  <c r="G49" i="5"/>
  <c r="G51" i="5"/>
  <c r="G59" i="5"/>
  <c r="G61" i="5"/>
  <c r="G15" i="5"/>
  <c r="G9" i="5"/>
  <c r="G10" i="5"/>
  <c r="G23" i="5"/>
  <c r="G25" i="5"/>
  <c r="G31" i="5"/>
  <c r="F10" i="5"/>
  <c r="F37" i="5"/>
  <c r="F32" i="5"/>
  <c r="F52" i="5"/>
  <c r="F19" i="5"/>
  <c r="F31" i="5"/>
  <c r="F33" i="5"/>
  <c r="E16" i="5"/>
  <c r="E10" i="5"/>
  <c r="E19" i="5"/>
  <c r="E33" i="5"/>
  <c r="E21" i="5"/>
  <c r="E22" i="5"/>
  <c r="E35" i="5"/>
  <c r="E32" i="5"/>
  <c r="E8" i="5"/>
  <c r="E23" i="5"/>
  <c r="E31" i="5"/>
  <c r="D14" i="5"/>
  <c r="D23" i="5"/>
  <c r="D25" i="5"/>
  <c r="D33" i="5"/>
  <c r="D35" i="5"/>
  <c r="D48" i="5"/>
  <c r="D53" i="5"/>
  <c r="D8" i="11" s="1"/>
  <c r="D8" i="5"/>
  <c r="D9" i="5"/>
  <c r="D24" i="5"/>
  <c r="D20" i="5"/>
  <c r="D36" i="5"/>
  <c r="D30" i="5"/>
  <c r="D32" i="5"/>
  <c r="C10" i="5"/>
  <c r="C12" i="5"/>
  <c r="C19" i="5"/>
  <c r="C20" i="5"/>
  <c r="C21" i="5"/>
  <c r="C23" i="5"/>
  <c r="C31" i="5"/>
  <c r="C32" i="5"/>
  <c r="C33" i="5"/>
  <c r="C35" i="5"/>
  <c r="C36" i="5"/>
  <c r="C37" i="5"/>
  <c r="B9" i="5"/>
  <c r="B16" i="5"/>
  <c r="B12" i="5"/>
  <c r="B20" i="5"/>
  <c r="B32" i="5"/>
  <c r="B33" i="5"/>
  <c r="B35" i="5"/>
  <c r="K30" i="5"/>
  <c r="K31" i="5"/>
  <c r="K32" i="5"/>
  <c r="K33" i="5"/>
  <c r="I127" i="1"/>
  <c r="J127" i="1"/>
  <c r="K127" i="1"/>
  <c r="L127" i="1"/>
  <c r="M127" i="1"/>
  <c r="N127" i="1"/>
  <c r="O127" i="1"/>
  <c r="P127" i="1"/>
  <c r="Q127" i="1"/>
  <c r="R127" i="1"/>
  <c r="S127" i="1"/>
  <c r="F20" i="5"/>
  <c r="F206" i="5" s="1"/>
  <c r="F25" i="5"/>
  <c r="F36" i="5"/>
  <c r="G52" i="5"/>
  <c r="G53" i="5"/>
  <c r="G60" i="5"/>
  <c r="G19" i="5"/>
  <c r="G21" i="5"/>
  <c r="G207" i="5" s="1"/>
  <c r="G14" i="5"/>
  <c r="G17" i="5"/>
  <c r="G20" i="5"/>
  <c r="G35" i="5"/>
  <c r="H12" i="5"/>
  <c r="H13" i="5"/>
  <c r="H59" i="5"/>
  <c r="H50" i="5"/>
  <c r="H52" i="5"/>
  <c r="H53" i="5"/>
  <c r="I48" i="5"/>
  <c r="I60" i="5"/>
  <c r="I37" i="5"/>
  <c r="I49" i="5"/>
  <c r="I61" i="5"/>
  <c r="I10" i="5"/>
  <c r="I47" i="5"/>
  <c r="I50" i="5"/>
  <c r="I52" i="5"/>
  <c r="I53" i="5"/>
  <c r="I59" i="5"/>
  <c r="I14" i="5"/>
  <c r="I24" i="5"/>
  <c r="J47" i="5"/>
  <c r="J48" i="5"/>
  <c r="J52" i="5"/>
  <c r="J59" i="5"/>
  <c r="J21" i="5"/>
  <c r="J49" i="5"/>
  <c r="J10" i="5"/>
  <c r="J37" i="5"/>
  <c r="J61" i="5"/>
  <c r="J14" i="5"/>
  <c r="J36" i="5"/>
  <c r="J53" i="5"/>
  <c r="J60" i="5"/>
  <c r="K14" i="5"/>
  <c r="K10" i="5"/>
  <c r="K22" i="5"/>
  <c r="K35" i="5"/>
  <c r="K36" i="5"/>
  <c r="K76" i="5"/>
  <c r="K206" i="5" s="1"/>
  <c r="K46" i="5"/>
  <c r="K52" i="5"/>
  <c r="K53" i="5"/>
  <c r="K47" i="5"/>
  <c r="K49" i="5"/>
  <c r="K60" i="5"/>
  <c r="L36" i="5"/>
  <c r="L205" i="5" s="1"/>
  <c r="L77" i="5"/>
  <c r="L22" i="5"/>
  <c r="L47" i="5"/>
  <c r="L52" i="5"/>
  <c r="L61" i="5"/>
  <c r="L46" i="5"/>
  <c r="L53" i="5"/>
  <c r="L59" i="5"/>
  <c r="L60" i="5"/>
  <c r="M47" i="5"/>
  <c r="M61" i="5"/>
  <c r="M51" i="5"/>
  <c r="M52" i="5"/>
  <c r="M53" i="5"/>
  <c r="M77" i="5"/>
  <c r="M46" i="5"/>
  <c r="M59" i="5"/>
  <c r="M60" i="5"/>
  <c r="N47" i="5"/>
  <c r="N81" i="5"/>
  <c r="N46" i="5"/>
  <c r="N51" i="5"/>
  <c r="N52" i="5"/>
  <c r="N53" i="5"/>
  <c r="N76" i="5"/>
  <c r="N61" i="5"/>
  <c r="N59" i="5"/>
  <c r="N60" i="5"/>
  <c r="N77" i="5"/>
  <c r="O51" i="5"/>
  <c r="O75" i="5"/>
  <c r="O52" i="5"/>
  <c r="O53" i="5"/>
  <c r="O60" i="5"/>
  <c r="O61" i="5"/>
  <c r="O79" i="5"/>
  <c r="O59" i="5"/>
  <c r="O76" i="5"/>
  <c r="O77" i="5"/>
  <c r="P51" i="5"/>
  <c r="P205" i="5" s="1"/>
  <c r="P49" i="5"/>
  <c r="P77" i="5"/>
  <c r="P47" i="5"/>
  <c r="P76" i="5"/>
  <c r="P81" i="5"/>
  <c r="P52" i="5"/>
  <c r="P53" i="5"/>
  <c r="P91" i="5"/>
  <c r="Q47" i="5"/>
  <c r="Q51" i="5"/>
  <c r="Q75" i="5"/>
  <c r="Q79" i="5"/>
  <c r="Q93" i="5"/>
  <c r="Q74" i="5"/>
  <c r="Q80" i="5"/>
  <c r="Q78" i="5"/>
  <c r="Q81" i="5"/>
  <c r="Q91" i="5"/>
  <c r="Q53" i="5"/>
  <c r="Q76" i="5"/>
  <c r="Q90" i="5"/>
  <c r="R93" i="5"/>
  <c r="R98" i="5"/>
  <c r="R102" i="5"/>
  <c r="R51" i="5"/>
  <c r="R53" i="5"/>
  <c r="R80" i="5"/>
  <c r="R91" i="5"/>
  <c r="R52" i="5"/>
  <c r="R75" i="5"/>
  <c r="R81" i="5"/>
  <c r="R76" i="5"/>
  <c r="R77" i="5"/>
  <c r="R79" i="5"/>
  <c r="R90" i="5"/>
  <c r="S74" i="5"/>
  <c r="S76" i="5"/>
  <c r="S99" i="5"/>
  <c r="S51" i="5"/>
  <c r="S52" i="5"/>
  <c r="S53" i="5"/>
  <c r="S75" i="5"/>
  <c r="S78" i="5"/>
  <c r="S93" i="5"/>
  <c r="S77" i="5"/>
  <c r="S79" i="5"/>
  <c r="S90" i="5"/>
  <c r="S81" i="5"/>
  <c r="S91" i="5"/>
  <c r="S98" i="5"/>
  <c r="S104" i="5"/>
  <c r="T103" i="5"/>
  <c r="T47" i="5"/>
  <c r="T105" i="5"/>
  <c r="T101" i="5"/>
  <c r="T80" i="5"/>
  <c r="T207" i="5" s="1"/>
  <c r="T104" i="5"/>
  <c r="T81" i="5"/>
  <c r="T79" i="5"/>
  <c r="U92" i="5"/>
  <c r="U77" i="5"/>
  <c r="U51" i="5"/>
  <c r="U103" i="5"/>
  <c r="U100" i="5"/>
  <c r="U101" i="5"/>
  <c r="U78" i="5"/>
  <c r="U52" i="5"/>
  <c r="U53" i="5"/>
  <c r="U93" i="5"/>
  <c r="U91" i="5"/>
  <c r="U80" i="5"/>
  <c r="U98" i="5"/>
  <c r="U81" i="5"/>
  <c r="U79" i="5"/>
  <c r="V92" i="5"/>
  <c r="V79" i="5"/>
  <c r="V53" i="5"/>
  <c r="V107" i="5"/>
  <c r="V109" i="5"/>
  <c r="V98" i="5"/>
  <c r="V80" i="5"/>
  <c r="V78" i="5"/>
  <c r="V104" i="5"/>
  <c r="V81" i="5"/>
  <c r="V100" i="5"/>
  <c r="V93" i="5"/>
  <c r="V90" i="5"/>
  <c r="V91" i="5"/>
  <c r="W98" i="5"/>
  <c r="W91" i="5"/>
  <c r="W92" i="5"/>
  <c r="W74" i="5"/>
  <c r="W53" i="5"/>
  <c r="W109" i="5"/>
  <c r="W103" i="5"/>
  <c r="W80" i="5"/>
  <c r="W76" i="5"/>
  <c r="W99" i="5"/>
  <c r="W100" i="5"/>
  <c r="W81" i="5"/>
  <c r="W104" i="5"/>
  <c r="W105" i="5"/>
  <c r="W78" i="5"/>
  <c r="X102" i="5"/>
  <c r="X81" i="5"/>
  <c r="X105" i="5"/>
  <c r="X90" i="5"/>
  <c r="X80" i="5"/>
  <c r="X77" i="5"/>
  <c r="X107" i="5"/>
  <c r="X109" i="5"/>
  <c r="X104" i="5"/>
  <c r="X98" i="5"/>
  <c r="X100" i="5"/>
  <c r="X78" i="5"/>
  <c r="Y121" i="5"/>
  <c r="Y116" i="5"/>
  <c r="Y108" i="5"/>
  <c r="Y99" i="5"/>
  <c r="Y103" i="5"/>
  <c r="Y100" i="5"/>
  <c r="Y98" i="5"/>
  <c r="Y81" i="5"/>
  <c r="Y53" i="5"/>
  <c r="Y117" i="5"/>
  <c r="Y107" i="5"/>
  <c r="Y78" i="5"/>
  <c r="Y115" i="5"/>
  <c r="Y101" i="5"/>
  <c r="Y102" i="5"/>
  <c r="Z119" i="5"/>
  <c r="Z109" i="5"/>
  <c r="Z104" i="5"/>
  <c r="Z100" i="5"/>
  <c r="Z81" i="5"/>
  <c r="Z78" i="5"/>
  <c r="Z74" i="5"/>
  <c r="Z120" i="5"/>
  <c r="Z117" i="5"/>
  <c r="Z107" i="5"/>
  <c r="Z76" i="5"/>
  <c r="Z121" i="5"/>
  <c r="Z98" i="5"/>
  <c r="Z114" i="5"/>
  <c r="Z115" i="5"/>
  <c r="Z108" i="5"/>
  <c r="Z101" i="5"/>
  <c r="AA119" i="5"/>
  <c r="AA108" i="5"/>
  <c r="AA99" i="5"/>
  <c r="AA118" i="5"/>
  <c r="AA100" i="5"/>
  <c r="AA115" i="5"/>
  <c r="AA116" i="5"/>
  <c r="AA98" i="5"/>
  <c r="AA120" i="5"/>
  <c r="AA121" i="5"/>
  <c r="AA114" i="5"/>
  <c r="AB119" i="5"/>
  <c r="AB205" i="5" s="1"/>
  <c r="AB114" i="5"/>
  <c r="AB115" i="5"/>
  <c r="AB104" i="5"/>
  <c r="AB98" i="5"/>
  <c r="AB120" i="5"/>
  <c r="AB118" i="5"/>
  <c r="AB109" i="5"/>
  <c r="AC114" i="5"/>
  <c r="AC107" i="5"/>
  <c r="AC117" i="5"/>
  <c r="AC108" i="5"/>
  <c r="AC105" i="5"/>
  <c r="AC118" i="5"/>
  <c r="AC109" i="5"/>
  <c r="AC104" i="5"/>
  <c r="AC120" i="5"/>
  <c r="AC121" i="5"/>
  <c r="AC106" i="5"/>
  <c r="AD120" i="5"/>
  <c r="AD114" i="5"/>
  <c r="AD115" i="5"/>
  <c r="AD101" i="5"/>
  <c r="AD119" i="5"/>
  <c r="AD109" i="5"/>
  <c r="AD106" i="5"/>
  <c r="AD121" i="5"/>
  <c r="AD102" i="5"/>
  <c r="AE104" i="5"/>
  <c r="AE205" i="5" s="1"/>
  <c r="AE120" i="5"/>
  <c r="AE118" i="5"/>
  <c r="AE139" i="5"/>
  <c r="AF118" i="5"/>
  <c r="AF205" i="5" s="1"/>
  <c r="AF121" i="5"/>
  <c r="AF206" i="5" s="1"/>
  <c r="AF120" i="5"/>
  <c r="AF208" i="5" s="1"/>
  <c r="AG139" i="5"/>
  <c r="AG140" i="5"/>
  <c r="AG141" i="5"/>
  <c r="AG108" i="5"/>
  <c r="AG207" i="5" s="1"/>
  <c r="AG120" i="5"/>
  <c r="AG109" i="5"/>
  <c r="AG107" i="5"/>
  <c r="AH118" i="5"/>
  <c r="AH108" i="5"/>
  <c r="AH145" i="5"/>
  <c r="AH121" i="5"/>
  <c r="AH207" i="5" s="1"/>
  <c r="AH120" i="5"/>
  <c r="AH106" i="5"/>
  <c r="AH139" i="5"/>
  <c r="AI155" i="5"/>
  <c r="AI107" i="5"/>
  <c r="AI143" i="5"/>
  <c r="AI139" i="5"/>
  <c r="AI106" i="5"/>
  <c r="AJ107" i="5"/>
  <c r="AJ145" i="5"/>
  <c r="AJ206" i="5" s="1"/>
  <c r="AJ109" i="5"/>
  <c r="AJ207" i="5" s="1"/>
  <c r="AJ121" i="5"/>
  <c r="AJ144" i="5"/>
  <c r="AK107" i="5"/>
  <c r="AK145" i="5"/>
  <c r="AK109" i="5"/>
  <c r="AK156" i="5"/>
  <c r="AK106" i="5"/>
  <c r="AL109" i="5"/>
  <c r="AL139" i="5"/>
  <c r="AL143" i="5"/>
  <c r="AL144" i="5"/>
  <c r="AL106" i="5"/>
  <c r="AL206" i="5" s="1"/>
  <c r="AL145" i="5"/>
  <c r="AL156" i="5"/>
  <c r="AL157" i="5"/>
  <c r="AL154" i="5"/>
  <c r="AM106" i="5"/>
  <c r="AM205" i="5" s="1"/>
  <c r="AM144" i="5"/>
  <c r="AM145" i="5"/>
  <c r="AM154" i="5"/>
  <c r="AM155" i="5"/>
  <c r="AM109" i="5"/>
  <c r="AM142" i="5"/>
  <c r="AM163" i="5"/>
  <c r="AM156" i="5"/>
  <c r="AM157" i="5"/>
  <c r="AN167" i="5"/>
  <c r="AN165" i="5"/>
  <c r="AN144" i="5"/>
  <c r="AN145" i="5"/>
  <c r="AN164" i="5"/>
  <c r="AN155" i="5"/>
  <c r="AN156" i="5"/>
  <c r="AN157" i="5"/>
  <c r="AN163" i="5"/>
  <c r="AN154" i="5"/>
  <c r="AO162" i="5"/>
  <c r="AO167" i="5"/>
  <c r="AO168" i="5"/>
  <c r="AO169" i="5"/>
  <c r="AO164" i="5"/>
  <c r="AO155" i="5"/>
  <c r="AO163" i="5"/>
  <c r="AO156" i="5"/>
  <c r="AO157" i="5"/>
  <c r="AO154" i="5"/>
  <c r="AP176" i="5"/>
  <c r="AP169" i="5"/>
  <c r="AP167" i="5"/>
  <c r="AP165" i="5"/>
  <c r="AP162" i="5"/>
  <c r="AP154" i="5"/>
  <c r="AP177" i="5"/>
  <c r="AP155" i="5"/>
  <c r="AP156" i="5"/>
  <c r="AP166" i="5"/>
  <c r="AP163" i="5"/>
  <c r="AP164" i="5"/>
  <c r="AP157" i="5"/>
  <c r="AQ175" i="5"/>
  <c r="AQ168" i="5"/>
  <c r="AQ166" i="5"/>
  <c r="AQ144" i="5"/>
  <c r="AQ176" i="5"/>
  <c r="AQ169" i="5"/>
  <c r="AQ165" i="5"/>
  <c r="AQ157" i="5"/>
  <c r="AQ154" i="5"/>
  <c r="AQ162" i="5"/>
  <c r="AQ155" i="5"/>
  <c r="AQ156" i="5"/>
  <c r="AR166" i="5"/>
  <c r="AR167" i="5"/>
  <c r="AR162" i="5"/>
  <c r="AR155" i="5"/>
  <c r="AR156" i="5"/>
  <c r="AR176" i="5"/>
  <c r="AR168" i="5"/>
  <c r="AR157" i="5"/>
  <c r="AR169" i="5"/>
  <c r="AR174" i="5"/>
  <c r="AR163" i="5"/>
  <c r="AR164" i="5"/>
  <c r="AR165" i="5"/>
  <c r="AR154" i="5"/>
  <c r="AS162" i="5"/>
  <c r="AS156" i="5"/>
  <c r="AS175" i="5"/>
  <c r="AS176" i="5"/>
  <c r="AS177" i="5"/>
  <c r="AS167" i="5"/>
  <c r="AS157" i="5"/>
  <c r="AS154" i="5"/>
  <c r="AS174" i="5"/>
  <c r="AS164" i="5"/>
  <c r="AS165" i="5"/>
  <c r="AS155" i="5"/>
  <c r="AS168" i="5"/>
  <c r="AS169" i="5"/>
  <c r="AS166" i="5"/>
  <c r="AS163" i="5"/>
  <c r="AT175" i="5"/>
  <c r="AT157" i="5"/>
  <c r="AT174" i="5"/>
  <c r="AT168" i="5"/>
  <c r="AT154" i="5"/>
  <c r="AT155" i="5"/>
  <c r="AT176" i="5"/>
  <c r="AT169" i="5"/>
  <c r="AT167" i="5"/>
  <c r="AT162" i="5"/>
  <c r="AT177" i="5"/>
  <c r="AT166" i="5"/>
  <c r="AT163" i="5"/>
  <c r="AT156" i="5"/>
  <c r="AU177" i="5"/>
  <c r="AU155" i="5"/>
  <c r="AU167" i="5"/>
  <c r="AU154" i="5"/>
  <c r="AU168" i="5"/>
  <c r="AU169" i="5"/>
  <c r="AU174" i="5"/>
  <c r="AU176" i="5"/>
  <c r="AU165" i="5"/>
  <c r="AU166" i="5"/>
  <c r="AU163" i="5"/>
  <c r="AV176" i="5"/>
  <c r="AV177" i="5"/>
  <c r="AV174" i="5"/>
  <c r="AV166" i="5"/>
  <c r="AV175" i="5"/>
  <c r="AV169" i="5"/>
  <c r="AV157" i="5"/>
  <c r="AV154" i="5"/>
  <c r="AV167" i="5"/>
  <c r="AV162" i="5"/>
  <c r="AV156" i="5"/>
  <c r="AV168" i="5"/>
  <c r="AV163" i="5"/>
  <c r="AW162" i="5"/>
  <c r="AW163" i="5"/>
  <c r="AW155" i="5"/>
  <c r="AW175" i="5"/>
  <c r="AW176" i="5"/>
  <c r="AW174" i="5"/>
  <c r="AW167" i="5"/>
  <c r="AW156" i="5"/>
  <c r="AW157" i="5"/>
  <c r="AW168" i="5"/>
  <c r="AW169" i="5"/>
  <c r="AW166" i="5"/>
  <c r="AX177" i="5"/>
  <c r="AX205" i="5" s="1"/>
  <c r="AX154" i="5"/>
  <c r="AX156" i="5"/>
  <c r="AX169" i="5"/>
  <c r="AX174" i="5"/>
  <c r="AX175" i="5"/>
  <c r="AX176" i="5"/>
  <c r="AX166" i="5"/>
  <c r="AX167" i="5"/>
  <c r="AY176" i="5"/>
  <c r="AY167" i="5"/>
  <c r="AY168" i="5"/>
  <c r="AY157" i="5"/>
  <c r="AY175" i="5"/>
  <c r="AY162" i="5"/>
  <c r="AY165" i="5"/>
  <c r="AY163" i="5"/>
  <c r="AY154" i="5"/>
  <c r="AY156" i="5"/>
  <c r="AZ167" i="5"/>
  <c r="AZ156" i="5"/>
  <c r="AZ162" i="5"/>
  <c r="AZ164" i="5"/>
  <c r="AZ206" i="5" s="1"/>
  <c r="AZ163" i="5"/>
  <c r="AZ154" i="5"/>
  <c r="AZ168" i="5"/>
  <c r="AI156" i="5"/>
  <c r="AI141" i="5"/>
  <c r="AI109" i="5"/>
  <c r="AI108" i="5"/>
  <c r="AJ213" i="5" s="1"/>
  <c r="AI121" i="5"/>
  <c r="AJ214" i="5" s="1"/>
  <c r="AI145" i="5"/>
  <c r="AJ215" i="5" s="1"/>
  <c r="AH154" i="5"/>
  <c r="AG155" i="5"/>
  <c r="AH155" i="5"/>
  <c r="AG156" i="5"/>
  <c r="AH156" i="5"/>
  <c r="AH157" i="5"/>
  <c r="W118" i="5"/>
  <c r="X118" i="5"/>
  <c r="AD118" i="5"/>
  <c r="W119" i="5"/>
  <c r="Y119" i="5"/>
  <c r="AC119" i="5"/>
  <c r="AE119" i="5"/>
  <c r="AF119" i="5"/>
  <c r="AG119" i="5"/>
  <c r="AH119" i="5"/>
  <c r="W120" i="5"/>
  <c r="X120" i="5"/>
  <c r="Y120" i="5"/>
  <c r="V121" i="5"/>
  <c r="V17" i="11" s="1"/>
  <c r="W121" i="5"/>
  <c r="X121" i="5"/>
  <c r="AB121" i="5"/>
  <c r="AE121" i="5"/>
  <c r="AF106" i="5"/>
  <c r="AG106" i="5"/>
  <c r="U107" i="5"/>
  <c r="W107" i="5"/>
  <c r="AB107" i="5"/>
  <c r="AD107" i="5"/>
  <c r="AF107" i="5"/>
  <c r="AH107" i="5"/>
  <c r="U108" i="5"/>
  <c r="AB108" i="5"/>
  <c r="AD108" i="5"/>
  <c r="AF108" i="5"/>
  <c r="T109" i="5"/>
  <c r="T15" i="11" s="1"/>
  <c r="U109" i="5"/>
  <c r="Y109" i="5"/>
  <c r="AA109" i="5"/>
  <c r="AE109" i="5"/>
  <c r="AF109" i="5"/>
  <c r="AH109" i="5"/>
  <c r="AE138" i="5"/>
  <c r="AF138" i="5"/>
  <c r="AG138" i="5"/>
  <c r="AH138" i="5"/>
  <c r="AD139" i="5"/>
  <c r="AF139" i="5"/>
  <c r="AE140" i="5"/>
  <c r="AF140" i="5"/>
  <c r="AH140" i="5"/>
  <c r="AE141" i="5"/>
  <c r="AF141" i="5"/>
  <c r="AH141" i="5"/>
  <c r="AV44" i="4"/>
  <c r="AA126" i="1"/>
  <c r="W27" i="4" s="1"/>
  <c r="AB126" i="1"/>
  <c r="AE27" i="4" s="1"/>
  <c r="AA125" i="1"/>
  <c r="V27" i="4" s="1"/>
  <c r="AB125" i="1"/>
  <c r="AD27" i="4" s="1"/>
  <c r="AA124" i="1"/>
  <c r="U27" i="4" s="1"/>
  <c r="AB124" i="1"/>
  <c r="AC27" i="4" s="1"/>
  <c r="AA123" i="1"/>
  <c r="T27" i="4" s="1"/>
  <c r="AB123" i="1"/>
  <c r="AB27" i="4" s="1"/>
  <c r="G27" i="4"/>
  <c r="H27" i="4"/>
  <c r="G29" i="4"/>
  <c r="H29" i="4"/>
  <c r="Q27" i="4"/>
  <c r="Q29" i="4"/>
  <c r="J27" i="4"/>
  <c r="AX142" i="5"/>
  <c r="AW142" i="5"/>
  <c r="AW144" i="5"/>
  <c r="AW145" i="5"/>
  <c r="AV142" i="5"/>
  <c r="AV143" i="5"/>
  <c r="AV144" i="5"/>
  <c r="AV145" i="5"/>
  <c r="AU142" i="5"/>
  <c r="AU143" i="5"/>
  <c r="AU144" i="5"/>
  <c r="AU145" i="5"/>
  <c r="AT142" i="5"/>
  <c r="AT143" i="5"/>
  <c r="AT144" i="5"/>
  <c r="AT145" i="5"/>
  <c r="AS142" i="5"/>
  <c r="AS144" i="5"/>
  <c r="AR142" i="5"/>
  <c r="AR143" i="5"/>
  <c r="AR144" i="5"/>
  <c r="AR145" i="5"/>
  <c r="AQ142" i="5"/>
  <c r="AQ143" i="5"/>
  <c r="AQ145" i="5"/>
  <c r="AP142" i="5"/>
  <c r="AP143" i="5"/>
  <c r="AP144" i="5"/>
  <c r="AO142" i="5"/>
  <c r="AO143" i="5"/>
  <c r="AO144" i="5"/>
  <c r="AO145" i="5"/>
  <c r="AN142" i="5"/>
  <c r="AN143" i="5"/>
  <c r="AL142" i="5"/>
  <c r="AK142" i="5"/>
  <c r="AK143" i="5"/>
  <c r="AK144" i="5"/>
  <c r="AJ142" i="5"/>
  <c r="AJ143" i="5"/>
  <c r="AI142" i="5"/>
  <c r="AI144" i="5"/>
  <c r="AH142" i="5"/>
  <c r="AH143" i="5"/>
  <c r="AH144" i="5"/>
  <c r="AG142" i="5"/>
  <c r="AG143" i="5"/>
  <c r="AG144" i="5"/>
  <c r="AG145" i="5"/>
  <c r="AF142" i="5"/>
  <c r="AE142" i="5"/>
  <c r="Z127" i="1"/>
  <c r="Y127" i="1"/>
  <c r="X127" i="1"/>
  <c r="W127" i="1"/>
  <c r="V127" i="1"/>
  <c r="U127" i="1"/>
  <c r="T127" i="1"/>
  <c r="H127" i="1"/>
  <c r="G127" i="1"/>
  <c r="F127" i="1"/>
  <c r="E127" i="1"/>
  <c r="D127" i="1"/>
  <c r="G28" i="4"/>
  <c r="H28" i="4"/>
  <c r="Q28" i="4"/>
  <c r="AX168" i="5"/>
  <c r="AX162" i="5"/>
  <c r="AX163" i="5"/>
  <c r="AX165" i="5"/>
  <c r="AW177" i="5"/>
  <c r="AW164" i="5"/>
  <c r="AW165" i="5"/>
  <c r="AW154" i="5"/>
  <c r="AV164" i="5"/>
  <c r="AV155" i="5"/>
  <c r="AU156" i="5"/>
  <c r="AU157" i="5"/>
  <c r="AU164" i="5"/>
  <c r="AT164" i="5"/>
  <c r="AR177" i="5"/>
  <c r="AR175" i="5"/>
  <c r="AQ177" i="5"/>
  <c r="AQ174" i="5"/>
  <c r="AQ167" i="5"/>
  <c r="AQ163" i="5"/>
  <c r="AP174" i="5"/>
  <c r="AP175" i="5"/>
  <c r="AP168" i="5"/>
  <c r="AP139" i="5"/>
  <c r="AO174" i="5"/>
  <c r="AO177" i="5"/>
  <c r="AO165" i="5"/>
  <c r="AO166" i="5"/>
  <c r="AN168" i="5"/>
  <c r="AN169" i="5"/>
  <c r="AN174" i="5"/>
  <c r="AN175" i="5"/>
  <c r="AN176" i="5"/>
  <c r="AN177" i="5"/>
  <c r="AN166" i="5"/>
  <c r="AN108" i="5"/>
  <c r="AN109" i="5"/>
  <c r="AL162" i="5"/>
  <c r="AL165" i="5"/>
  <c r="AL155" i="5"/>
  <c r="AL107" i="5"/>
  <c r="AL141" i="5"/>
  <c r="AL138" i="5"/>
  <c r="AK157" i="5"/>
  <c r="AK164" i="5"/>
  <c r="AK165" i="5"/>
  <c r="AK138" i="5"/>
  <c r="AK139" i="5"/>
  <c r="AK140" i="5"/>
  <c r="AK141" i="5"/>
  <c r="AK108" i="5"/>
  <c r="AK154" i="5"/>
  <c r="AK155" i="5"/>
  <c r="AJ138" i="5"/>
  <c r="AJ139" i="5"/>
  <c r="AJ141" i="5"/>
  <c r="AJ118" i="5"/>
  <c r="AJ119" i="5"/>
  <c r="AJ120" i="5"/>
  <c r="AJ108" i="5"/>
  <c r="AJ154" i="5"/>
  <c r="AJ155" i="5"/>
  <c r="AJ156" i="5"/>
  <c r="AJ157" i="5"/>
  <c r="AI157" i="5"/>
  <c r="AI120" i="5"/>
  <c r="AI154" i="5"/>
  <c r="AI138" i="5"/>
  <c r="AI118" i="5"/>
  <c r="AI119" i="5"/>
  <c r="AH114" i="5"/>
  <c r="AG114" i="5"/>
  <c r="AG115" i="5"/>
  <c r="AG116" i="5"/>
  <c r="AG117" i="5"/>
  <c r="AG104" i="5"/>
  <c r="N122" i="1"/>
  <c r="O122" i="1"/>
  <c r="P122" i="1"/>
  <c r="Q122" i="1"/>
  <c r="R122" i="1"/>
  <c r="S122" i="1"/>
  <c r="T122" i="1"/>
  <c r="U122" i="1"/>
  <c r="V122" i="1"/>
  <c r="W122" i="1"/>
  <c r="AA119" i="1"/>
  <c r="U19" i="4" s="1"/>
  <c r="AA121" i="1"/>
  <c r="W19" i="4" s="1"/>
  <c r="AB121" i="1"/>
  <c r="AE19" i="4" s="1"/>
  <c r="AA120" i="1"/>
  <c r="V19" i="4" s="1"/>
  <c r="AB120" i="1"/>
  <c r="AD19" i="4" s="1"/>
  <c r="AB119" i="1"/>
  <c r="AC19" i="4" s="1"/>
  <c r="AA118" i="1"/>
  <c r="T19" i="4" s="1"/>
  <c r="AB118" i="1"/>
  <c r="AB19" i="4" s="1"/>
  <c r="Q19" i="4"/>
  <c r="G19" i="4"/>
  <c r="H19" i="4"/>
  <c r="J19" i="4"/>
  <c r="Z122" i="1"/>
  <c r="Y122" i="1"/>
  <c r="X122" i="1"/>
  <c r="M122" i="1"/>
  <c r="L122" i="1"/>
  <c r="K122" i="1"/>
  <c r="J122" i="1"/>
  <c r="I122" i="1"/>
  <c r="H122" i="1"/>
  <c r="G122" i="1"/>
  <c r="F122" i="1"/>
  <c r="E122" i="1"/>
  <c r="D122" i="1"/>
  <c r="AB41" i="1"/>
  <c r="AE10" i="4" s="1"/>
  <c r="AB36" i="1"/>
  <c r="AE7" i="4" s="1"/>
  <c r="AB31" i="1"/>
  <c r="AE6" i="4" s="1"/>
  <c r="AB26" i="1"/>
  <c r="AE11" i="4" s="1"/>
  <c r="AB21" i="1"/>
  <c r="AE3" i="4" s="1"/>
  <c r="AB16" i="1"/>
  <c r="AE9" i="4" s="1"/>
  <c r="AB11" i="1"/>
  <c r="AE5" i="4" s="1"/>
  <c r="AB6" i="1"/>
  <c r="AE4" i="4" s="1"/>
  <c r="AB46" i="1"/>
  <c r="AE12" i="4" s="1"/>
  <c r="AB51" i="1"/>
  <c r="AE15" i="4" s="1"/>
  <c r="AB56" i="1"/>
  <c r="AE14" i="4" s="1"/>
  <c r="AB61" i="1"/>
  <c r="AE13" i="4" s="1"/>
  <c r="AB66" i="1"/>
  <c r="AE21" i="4" s="1"/>
  <c r="AB71" i="1"/>
  <c r="AE23" i="4" s="1"/>
  <c r="AB76" i="1"/>
  <c r="AE8" i="4" s="1"/>
  <c r="AB81" i="1"/>
  <c r="AE44" i="4" s="1"/>
  <c r="AB86" i="1"/>
  <c r="AE16" i="4" s="1"/>
  <c r="AB91" i="1"/>
  <c r="AE26" i="4" s="1"/>
  <c r="AB96" i="1"/>
  <c r="AE18" i="4" s="1"/>
  <c r="AB101" i="1"/>
  <c r="AE17" i="4" s="1"/>
  <c r="AB106" i="1"/>
  <c r="AE20" i="4" s="1"/>
  <c r="AB111" i="1"/>
  <c r="AE29" i="4" s="1"/>
  <c r="AB116" i="1"/>
  <c r="AE28" i="4" s="1"/>
  <c r="AB40" i="1"/>
  <c r="AD10" i="4" s="1"/>
  <c r="AB35" i="1"/>
  <c r="AD7" i="4" s="1"/>
  <c r="AB30" i="1"/>
  <c r="AD6" i="4" s="1"/>
  <c r="AB25" i="1"/>
  <c r="AD11" i="4" s="1"/>
  <c r="AB20" i="1"/>
  <c r="AD3" i="4" s="1"/>
  <c r="AB15" i="1"/>
  <c r="AD9" i="4" s="1"/>
  <c r="AB10" i="1"/>
  <c r="AD5" i="4" s="1"/>
  <c r="AB5" i="1"/>
  <c r="AD4" i="4" s="1"/>
  <c r="AB45" i="1"/>
  <c r="AD12" i="4" s="1"/>
  <c r="AB50" i="1"/>
  <c r="AD15" i="4" s="1"/>
  <c r="AB55" i="1"/>
  <c r="AD14" i="4" s="1"/>
  <c r="AB60" i="1"/>
  <c r="AD13" i="4" s="1"/>
  <c r="AB65" i="1"/>
  <c r="AD21" i="4" s="1"/>
  <c r="AB70" i="1"/>
  <c r="AD23" i="4" s="1"/>
  <c r="AB75" i="1"/>
  <c r="AD8" i="4" s="1"/>
  <c r="AB80" i="1"/>
  <c r="AD44" i="4" s="1"/>
  <c r="AB85" i="1"/>
  <c r="AD16" i="4" s="1"/>
  <c r="AB90" i="1"/>
  <c r="AD26" i="4" s="1"/>
  <c r="AB95" i="1"/>
  <c r="AD18" i="4" s="1"/>
  <c r="AB100" i="1"/>
  <c r="AD17" i="4" s="1"/>
  <c r="AB105" i="1"/>
  <c r="AD20" i="4" s="1"/>
  <c r="AB110" i="1"/>
  <c r="AD29" i="4" s="1"/>
  <c r="AB115" i="1"/>
  <c r="AD28" i="4" s="1"/>
  <c r="AB39" i="1"/>
  <c r="AC10" i="4" s="1"/>
  <c r="AB34" i="1"/>
  <c r="AC7" i="4" s="1"/>
  <c r="AB29" i="1"/>
  <c r="AC6" i="4" s="1"/>
  <c r="AB24" i="1"/>
  <c r="AC11" i="4" s="1"/>
  <c r="AB19" i="1"/>
  <c r="AC3" i="4" s="1"/>
  <c r="AB14" i="1"/>
  <c r="AC9" i="4" s="1"/>
  <c r="AB9" i="1"/>
  <c r="AB4" i="1"/>
  <c r="AC4" i="4" s="1"/>
  <c r="AB44" i="1"/>
  <c r="AC12" i="4" s="1"/>
  <c r="AB49" i="1"/>
  <c r="AC15" i="4" s="1"/>
  <c r="AB54" i="1"/>
  <c r="AC14" i="4" s="1"/>
  <c r="AB59" i="1"/>
  <c r="AC13" i="4" s="1"/>
  <c r="AB64" i="1"/>
  <c r="AC21" i="4" s="1"/>
  <c r="AB69" i="1"/>
  <c r="AC23" i="4" s="1"/>
  <c r="AB74" i="1"/>
  <c r="AC8" i="4" s="1"/>
  <c r="AB79" i="1"/>
  <c r="AC44" i="4" s="1"/>
  <c r="AB84" i="1"/>
  <c r="AC16" i="4" s="1"/>
  <c r="AB89" i="1"/>
  <c r="AC26" i="4" s="1"/>
  <c r="AB94" i="1"/>
  <c r="AC18" i="4" s="1"/>
  <c r="AB99" i="1"/>
  <c r="AC17" i="4" s="1"/>
  <c r="AB104" i="1"/>
  <c r="AC20" i="4" s="1"/>
  <c r="AB109" i="1"/>
  <c r="AC29" i="4" s="1"/>
  <c r="AB114" i="1"/>
  <c r="AC28" i="4" s="1"/>
  <c r="AB38" i="1"/>
  <c r="AB10" i="4" s="1"/>
  <c r="AB33" i="1"/>
  <c r="AB7" i="4" s="1"/>
  <c r="AB28" i="1"/>
  <c r="AB6" i="4" s="1"/>
  <c r="AB23" i="1"/>
  <c r="AB11" i="4" s="1"/>
  <c r="AB18" i="1"/>
  <c r="AB3" i="4" s="1"/>
  <c r="AB13" i="1"/>
  <c r="AB9" i="4" s="1"/>
  <c r="AB8" i="1"/>
  <c r="AB5" i="4" s="1"/>
  <c r="AB43" i="1"/>
  <c r="AB12" i="4" s="1"/>
  <c r="AB48" i="1"/>
  <c r="AB15" i="4" s="1"/>
  <c r="AB53" i="1"/>
  <c r="AB14" i="4" s="1"/>
  <c r="AB58" i="1"/>
  <c r="AB13" i="4" s="1"/>
  <c r="AB63" i="1"/>
  <c r="AB21" i="4" s="1"/>
  <c r="AB68" i="1"/>
  <c r="AB23" i="4" s="1"/>
  <c r="AB73" i="1"/>
  <c r="AB8" i="4" s="1"/>
  <c r="AB78" i="1"/>
  <c r="AB44" i="4" s="1"/>
  <c r="AB83" i="1"/>
  <c r="AB16" i="4" s="1"/>
  <c r="AB88" i="1"/>
  <c r="AB26" i="4" s="1"/>
  <c r="AB93" i="1"/>
  <c r="AB18" i="4" s="1"/>
  <c r="AB98" i="1"/>
  <c r="AB17" i="4" s="1"/>
  <c r="AB103" i="1"/>
  <c r="AB20" i="4" s="1"/>
  <c r="AB108" i="1"/>
  <c r="AB29" i="4" s="1"/>
  <c r="AB113" i="1"/>
  <c r="AB28" i="4" s="1"/>
  <c r="S37" i="5"/>
  <c r="R35" i="5"/>
  <c r="R37" i="5"/>
  <c r="F35" i="5"/>
  <c r="E36" i="5"/>
  <c r="E37" i="5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J16" i="4"/>
  <c r="S47" i="5"/>
  <c r="S49" i="5"/>
  <c r="S80" i="5"/>
  <c r="S92" i="5"/>
  <c r="S100" i="5"/>
  <c r="S101" i="5"/>
  <c r="S102" i="5"/>
  <c r="S103" i="5"/>
  <c r="S105" i="5"/>
  <c r="R47" i="5"/>
  <c r="R49" i="5"/>
  <c r="R78" i="5"/>
  <c r="R92" i="5"/>
  <c r="R99" i="5"/>
  <c r="R100" i="5"/>
  <c r="R101" i="5"/>
  <c r="R104" i="5"/>
  <c r="D19" i="5"/>
  <c r="E20" i="5"/>
  <c r="F21" i="5"/>
  <c r="K19" i="5"/>
  <c r="K20" i="5"/>
  <c r="K21" i="5"/>
  <c r="L19" i="5"/>
  <c r="L20" i="5"/>
  <c r="J117" i="1"/>
  <c r="K117" i="1"/>
  <c r="L117" i="1"/>
  <c r="M117" i="1"/>
  <c r="N117" i="1"/>
  <c r="O117" i="1"/>
  <c r="P117" i="1"/>
  <c r="Q117" i="1"/>
  <c r="R117" i="1"/>
  <c r="S117" i="1"/>
  <c r="T117" i="1"/>
  <c r="U117" i="1"/>
  <c r="D117" i="1"/>
  <c r="E117" i="1"/>
  <c r="F117" i="1"/>
  <c r="G117" i="1"/>
  <c r="H117" i="1"/>
  <c r="I117" i="1"/>
  <c r="V117" i="1"/>
  <c r="W117" i="1"/>
  <c r="X117" i="1"/>
  <c r="Y117" i="1"/>
  <c r="Z117" i="1"/>
  <c r="AA114" i="1"/>
  <c r="U28" i="4" s="1"/>
  <c r="AA116" i="1"/>
  <c r="W28" i="4" s="1"/>
  <c r="AA115" i="1"/>
  <c r="V28" i="4" s="1"/>
  <c r="AA91" i="1"/>
  <c r="W26" i="4" s="1"/>
  <c r="AA90" i="1"/>
  <c r="V26" i="4" s="1"/>
  <c r="AA89" i="1"/>
  <c r="U26" i="4" s="1"/>
  <c r="AA113" i="1"/>
  <c r="T28" i="4" s="1"/>
  <c r="AA88" i="1"/>
  <c r="T26" i="4" s="1"/>
  <c r="J28" i="4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D17" i="1"/>
  <c r="B4" i="2" s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D42" i="1"/>
  <c r="B9" i="2" s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D27" i="1"/>
  <c r="B6" i="2" s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D47" i="1"/>
  <c r="B10" i="2" s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F9" i="5"/>
  <c r="F47" i="5"/>
  <c r="F48" i="5"/>
  <c r="F49" i="5"/>
  <c r="F51" i="5"/>
  <c r="F53" i="5"/>
  <c r="F13" i="5"/>
  <c r="F17" i="5"/>
  <c r="E6" i="5"/>
  <c r="E53" i="5"/>
  <c r="E17" i="5"/>
  <c r="E14" i="5"/>
  <c r="E24" i="5"/>
  <c r="Y258" i="1"/>
  <c r="AA256" i="1"/>
  <c r="G26" i="4"/>
  <c r="H26" i="4"/>
  <c r="Q26" i="4"/>
  <c r="J29" i="4"/>
  <c r="D16" i="5"/>
  <c r="D13" i="5"/>
  <c r="D22" i="5"/>
  <c r="AA111" i="1"/>
  <c r="W29" i="4" s="1"/>
  <c r="AA110" i="1"/>
  <c r="V29" i="4" s="1"/>
  <c r="AA109" i="1"/>
  <c r="U29" i="4" s="1"/>
  <c r="AA108" i="1"/>
  <c r="T29" i="4" s="1"/>
  <c r="E25" i="5"/>
  <c r="C24" i="5"/>
  <c r="C25" i="5"/>
  <c r="B24" i="5"/>
  <c r="B25" i="5"/>
  <c r="G23" i="4"/>
  <c r="H23" i="4"/>
  <c r="Q23" i="4"/>
  <c r="E12" i="5"/>
  <c r="C17" i="5"/>
  <c r="B8" i="5"/>
  <c r="B11" i="5"/>
  <c r="B13" i="5"/>
  <c r="AA104" i="1"/>
  <c r="U20" i="4" s="1"/>
  <c r="AA106" i="1"/>
  <c r="W20" i="4" s="1"/>
  <c r="AA105" i="1"/>
  <c r="V20" i="4" s="1"/>
  <c r="AA103" i="1"/>
  <c r="T20" i="4" s="1"/>
  <c r="Q20" i="4"/>
  <c r="G20" i="4"/>
  <c r="H20" i="4"/>
  <c r="J20" i="4"/>
  <c r="AA101" i="1"/>
  <c r="W17" i="4" s="1"/>
  <c r="AA100" i="1"/>
  <c r="V17" i="4" s="1"/>
  <c r="AA98" i="1"/>
  <c r="T17" i="4" s="1"/>
  <c r="Q17" i="4"/>
  <c r="J17" i="4"/>
  <c r="J26" i="4"/>
  <c r="J18" i="4"/>
  <c r="G17" i="4"/>
  <c r="H17" i="4"/>
  <c r="D12" i="5"/>
  <c r="D207" i="5" s="1"/>
  <c r="C11" i="5"/>
  <c r="C13" i="5"/>
  <c r="D17" i="5"/>
  <c r="D206" i="5" s="1"/>
  <c r="C16" i="5"/>
  <c r="C14" i="5"/>
  <c r="C15" i="5"/>
  <c r="AA99" i="1"/>
  <c r="U17" i="4" s="1"/>
  <c r="AA95" i="1"/>
  <c r="V18" i="4" s="1"/>
  <c r="AA94" i="1"/>
  <c r="U18" i="4" s="1"/>
  <c r="AA93" i="1"/>
  <c r="T18" i="4" s="1"/>
  <c r="G21" i="4"/>
  <c r="H21" i="4"/>
  <c r="G18" i="4"/>
  <c r="Q18" i="4"/>
  <c r="Q21" i="4"/>
  <c r="B17" i="5"/>
  <c r="B205" i="5" s="1"/>
  <c r="AA96" i="1"/>
  <c r="W18" i="4" s="1"/>
  <c r="H18" i="4"/>
  <c r="F14" i="5"/>
  <c r="B7" i="5"/>
  <c r="B207" i="5" s="1"/>
  <c r="C6" i="5"/>
  <c r="C7" i="5"/>
  <c r="C8" i="5"/>
  <c r="C9" i="5"/>
  <c r="G16" i="4"/>
  <c r="H16" i="4"/>
  <c r="Q16" i="4"/>
  <c r="G15" i="4"/>
  <c r="H15" i="4"/>
  <c r="Q15" i="4"/>
  <c r="G14" i="4"/>
  <c r="H14" i="4"/>
  <c r="Q14" i="4"/>
  <c r="G13" i="4"/>
  <c r="H13" i="4"/>
  <c r="Q13" i="4"/>
  <c r="G12" i="4"/>
  <c r="H12" i="4"/>
  <c r="Q12" i="4"/>
  <c r="G11" i="4"/>
  <c r="H11" i="4"/>
  <c r="Q11" i="4"/>
  <c r="G10" i="4"/>
  <c r="H10" i="4"/>
  <c r="Q10" i="4"/>
  <c r="G8" i="4"/>
  <c r="H8" i="4"/>
  <c r="Q8" i="4"/>
  <c r="G9" i="4"/>
  <c r="H9" i="4"/>
  <c r="Q9" i="4"/>
  <c r="G7" i="4"/>
  <c r="H7" i="4"/>
  <c r="Q7" i="4"/>
  <c r="G6" i="4"/>
  <c r="H6" i="4"/>
  <c r="Q6" i="4"/>
  <c r="G5" i="4"/>
  <c r="H5" i="4"/>
  <c r="Q5" i="4"/>
  <c r="G3" i="4"/>
  <c r="H3" i="4"/>
  <c r="Q3" i="4"/>
  <c r="B3" i="43"/>
  <c r="AZ166" i="5"/>
  <c r="AY174" i="5"/>
  <c r="AY166" i="5"/>
  <c r="AY164" i="5"/>
  <c r="AM164" i="5"/>
  <c r="AM165" i="5"/>
  <c r="AM166" i="5"/>
  <c r="AM167" i="5"/>
  <c r="AM168" i="5"/>
  <c r="AM169" i="5"/>
  <c r="AM176" i="5"/>
  <c r="AM177" i="5"/>
  <c r="AM162" i="5"/>
  <c r="AM107" i="5"/>
  <c r="AM139" i="5"/>
  <c r="AM141" i="5"/>
  <c r="AA86" i="1"/>
  <c r="W16" i="4" s="1"/>
  <c r="AA85" i="1"/>
  <c r="V16" i="4" s="1"/>
  <c r="AA84" i="1"/>
  <c r="U16" i="4" s="1"/>
  <c r="AA83" i="1"/>
  <c r="T16" i="4" s="1"/>
  <c r="C3" i="43"/>
  <c r="G24" i="7"/>
  <c r="G23" i="7"/>
  <c r="G22" i="7"/>
  <c r="G21" i="7"/>
  <c r="G20" i="7"/>
  <c r="G19" i="7"/>
  <c r="G18" i="7"/>
  <c r="G17" i="7"/>
  <c r="G16" i="7"/>
  <c r="E26" i="3"/>
  <c r="E25" i="3"/>
  <c r="E16" i="2"/>
  <c r="E17" i="2"/>
  <c r="E18" i="2"/>
  <c r="E19" i="2"/>
  <c r="E20" i="2"/>
  <c r="E21" i="2"/>
  <c r="E23" i="2"/>
  <c r="E24" i="2"/>
  <c r="AF115" i="5"/>
  <c r="AF116" i="5"/>
  <c r="AE114" i="5"/>
  <c r="AE115" i="5"/>
  <c r="AE116" i="5"/>
  <c r="AE117" i="5"/>
  <c r="AE102" i="5"/>
  <c r="AD116" i="5"/>
  <c r="AD104" i="5"/>
  <c r="AD91" i="5"/>
  <c r="AD98" i="5"/>
  <c r="AD99" i="5"/>
  <c r="AD100" i="5"/>
  <c r="AA81" i="1"/>
  <c r="W44" i="4" s="1"/>
  <c r="AA80" i="1"/>
  <c r="V44" i="4" s="1"/>
  <c r="AA79" i="1"/>
  <c r="U44" i="4" s="1"/>
  <c r="AA78" i="1"/>
  <c r="T44" i="4" s="1"/>
  <c r="J44" i="4"/>
  <c r="Q4" i="4"/>
  <c r="AA3" i="1"/>
  <c r="T4" i="4" s="1"/>
  <c r="H4" i="4"/>
  <c r="AA6" i="1"/>
  <c r="W4" i="4" s="1"/>
  <c r="AA5" i="1"/>
  <c r="V4" i="4" s="1"/>
  <c r="AA4" i="1"/>
  <c r="U4" i="4" s="1"/>
  <c r="AA76" i="1"/>
  <c r="W8" i="4" s="1"/>
  <c r="AA75" i="1"/>
  <c r="V8" i="4" s="1"/>
  <c r="AA74" i="1"/>
  <c r="U8" i="4" s="1"/>
  <c r="AA73" i="1"/>
  <c r="T8" i="4" s="1"/>
  <c r="J8" i="4"/>
  <c r="X114" i="5"/>
  <c r="X115" i="5"/>
  <c r="X116" i="5"/>
  <c r="X117" i="5"/>
  <c r="W115" i="5"/>
  <c r="W116" i="5"/>
  <c r="W117" i="5"/>
  <c r="V117" i="5"/>
  <c r="V16" i="11" s="1"/>
  <c r="AE12" i="53" s="1"/>
  <c r="Y114" i="5"/>
  <c r="Z116" i="5"/>
  <c r="AA117" i="5"/>
  <c r="AB116" i="5"/>
  <c r="AB117" i="5"/>
  <c r="AC115" i="5"/>
  <c r="AC116" i="5"/>
  <c r="AC90" i="5"/>
  <c r="AC91" i="5"/>
  <c r="AC92" i="5"/>
  <c r="AC93" i="5"/>
  <c r="AC98" i="5"/>
  <c r="AC99" i="5"/>
  <c r="AC100" i="5"/>
  <c r="AC101" i="5"/>
  <c r="AC102" i="5"/>
  <c r="AC103" i="5"/>
  <c r="AB105" i="5"/>
  <c r="AB99" i="5"/>
  <c r="AB100" i="5"/>
  <c r="AB101" i="5"/>
  <c r="AB78" i="5"/>
  <c r="AB79" i="5"/>
  <c r="AB81" i="5"/>
  <c r="AB90" i="5"/>
  <c r="AB91" i="5"/>
  <c r="AB93" i="5"/>
  <c r="AA105" i="5"/>
  <c r="AA101" i="5"/>
  <c r="AA102" i="5"/>
  <c r="AA103" i="5"/>
  <c r="AA78" i="5"/>
  <c r="AA79" i="5"/>
  <c r="AA80" i="5"/>
  <c r="AA81" i="5"/>
  <c r="AA93" i="5"/>
  <c r="Z105" i="5"/>
  <c r="Z102" i="5"/>
  <c r="Z99" i="5"/>
  <c r="Z79" i="5"/>
  <c r="Z80" i="5"/>
  <c r="Z77" i="5"/>
  <c r="Z75" i="5"/>
  <c r="Z51" i="5"/>
  <c r="Z52" i="5"/>
  <c r="Z53" i="5"/>
  <c r="Y105" i="5"/>
  <c r="Y90" i="5"/>
  <c r="Y91" i="5"/>
  <c r="Y75" i="5"/>
  <c r="Y76" i="5"/>
  <c r="Y77" i="5"/>
  <c r="Y51" i="5"/>
  <c r="Y52" i="5"/>
  <c r="X103" i="5"/>
  <c r="X101" i="5"/>
  <c r="X99" i="5"/>
  <c r="X93" i="5"/>
  <c r="X74" i="5"/>
  <c r="X76" i="5"/>
  <c r="V47" i="5"/>
  <c r="V52" i="5"/>
  <c r="V75" i="5"/>
  <c r="V76" i="5"/>
  <c r="V77" i="5"/>
  <c r="V99" i="5"/>
  <c r="V101" i="5"/>
  <c r="V103" i="5"/>
  <c r="V105" i="5"/>
  <c r="AA71" i="1"/>
  <c r="W23" i="4" s="1"/>
  <c r="AA70" i="1"/>
  <c r="V23" i="4" s="1"/>
  <c r="AA69" i="1"/>
  <c r="U23" i="4" s="1"/>
  <c r="AA68" i="1"/>
  <c r="T23" i="4" s="1"/>
  <c r="J23" i="4"/>
  <c r="J21" i="4"/>
  <c r="U47" i="5"/>
  <c r="U75" i="5"/>
  <c r="U99" i="5"/>
  <c r="U102" i="5"/>
  <c r="U104" i="5"/>
  <c r="U105" i="5"/>
  <c r="T48" i="5"/>
  <c r="T49" i="5"/>
  <c r="T52" i="5"/>
  <c r="T53" i="5"/>
  <c r="T77" i="5"/>
  <c r="W47" i="5"/>
  <c r="AA66" i="1"/>
  <c r="W21" i="4" s="1"/>
  <c r="AA65" i="1"/>
  <c r="V21" i="4" s="1"/>
  <c r="AA64" i="1"/>
  <c r="U21" i="4" s="1"/>
  <c r="AA63" i="1"/>
  <c r="T21" i="4" s="1"/>
  <c r="E22" i="31"/>
  <c r="E21" i="31"/>
  <c r="E20" i="31"/>
  <c r="E19" i="31"/>
  <c r="E18" i="31"/>
  <c r="E17" i="31"/>
  <c r="E16" i="31"/>
  <c r="E23" i="29"/>
  <c r="E22" i="29"/>
  <c r="E21" i="29"/>
  <c r="E20" i="29"/>
  <c r="E19" i="29"/>
  <c r="E18" i="29"/>
  <c r="E17" i="29"/>
  <c r="E16" i="29"/>
  <c r="E18" i="27"/>
  <c r="E17" i="27"/>
  <c r="E16" i="27"/>
  <c r="E19" i="25"/>
  <c r="E18" i="25"/>
  <c r="E17" i="25"/>
  <c r="E16" i="25"/>
  <c r="F24" i="7"/>
  <c r="F23" i="7"/>
  <c r="F22" i="7"/>
  <c r="F21" i="7"/>
  <c r="F20" i="7"/>
  <c r="F19" i="7"/>
  <c r="F18" i="7"/>
  <c r="F17" i="7"/>
  <c r="F16" i="7"/>
  <c r="E24" i="3"/>
  <c r="E23" i="3"/>
  <c r="E22" i="3"/>
  <c r="E21" i="3"/>
  <c r="E20" i="3"/>
  <c r="E19" i="3"/>
  <c r="E18" i="3"/>
  <c r="E17" i="3"/>
  <c r="E16" i="3"/>
  <c r="B13" i="31"/>
  <c r="C13" i="31" s="1"/>
  <c r="D13" i="31" s="1"/>
  <c r="E13" i="31" s="1"/>
  <c r="F13" i="31" s="1"/>
  <c r="G13" i="31" s="1"/>
  <c r="H13" i="31" s="1"/>
  <c r="I13" i="31" s="1"/>
  <c r="J13" i="31" s="1"/>
  <c r="K13" i="31" s="1"/>
  <c r="L13" i="31" s="1"/>
  <c r="B13" i="29"/>
  <c r="C13" i="29" s="1"/>
  <c r="D13" i="29" s="1"/>
  <c r="E13" i="29" s="1"/>
  <c r="F13" i="29" s="1"/>
  <c r="G13" i="29" s="1"/>
  <c r="H13" i="29" s="1"/>
  <c r="I13" i="29" s="1"/>
  <c r="J13" i="29" s="1"/>
  <c r="K13" i="29" s="1"/>
  <c r="L13" i="29" s="1"/>
  <c r="M13" i="29" s="1"/>
  <c r="N13" i="29" s="1"/>
  <c r="O13" i="29" s="1"/>
  <c r="P13" i="29" s="1"/>
  <c r="B13" i="27"/>
  <c r="C13" i="27" s="1"/>
  <c r="D13" i="27" s="1"/>
  <c r="E13" i="27" s="1"/>
  <c r="F13" i="27" s="1"/>
  <c r="G13" i="27" s="1"/>
  <c r="H13" i="27" s="1"/>
  <c r="I13" i="27" s="1"/>
  <c r="J13" i="27" s="1"/>
  <c r="B13" i="25"/>
  <c r="C13" i="25" s="1"/>
  <c r="D13" i="25" s="1"/>
  <c r="E13" i="25" s="1"/>
  <c r="F13" i="25" s="1"/>
  <c r="G13" i="25" s="1"/>
  <c r="H13" i="25" s="1"/>
  <c r="I13" i="25" s="1"/>
  <c r="J13" i="25" s="1"/>
  <c r="K13" i="25" s="1"/>
  <c r="L13" i="25" s="1"/>
  <c r="B13" i="2"/>
  <c r="AA104" i="5"/>
  <c r="Y104" i="5"/>
  <c r="W102" i="5"/>
  <c r="B13" i="7"/>
  <c r="B13" i="3"/>
  <c r="C13" i="3" s="1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T13" i="3" s="1"/>
  <c r="AU13" i="3" s="1"/>
  <c r="AA61" i="1"/>
  <c r="W13" i="4" s="1"/>
  <c r="AA60" i="1"/>
  <c r="V13" i="4" s="1"/>
  <c r="AA59" i="1"/>
  <c r="U13" i="4" s="1"/>
  <c r="AA58" i="1"/>
  <c r="T13" i="4" s="1"/>
  <c r="J15" i="4"/>
  <c r="J14" i="4"/>
  <c r="J11" i="4"/>
  <c r="J10" i="4"/>
  <c r="J7" i="4"/>
  <c r="J6" i="4"/>
  <c r="J9" i="4"/>
  <c r="J13" i="4"/>
  <c r="J12" i="4"/>
  <c r="J3" i="4"/>
  <c r="J5" i="4"/>
  <c r="J4" i="4"/>
  <c r="B12" i="31"/>
  <c r="C12" i="31" s="1"/>
  <c r="D12" i="31" s="1"/>
  <c r="E12" i="31" s="1"/>
  <c r="F12" i="31" s="1"/>
  <c r="G12" i="31" s="1"/>
  <c r="H12" i="31" s="1"/>
  <c r="I12" i="31" s="1"/>
  <c r="J12" i="31" s="1"/>
  <c r="K12" i="31" s="1"/>
  <c r="L12" i="31" s="1"/>
  <c r="M12" i="31" s="1"/>
  <c r="N12" i="31" s="1"/>
  <c r="O12" i="31" s="1"/>
  <c r="B11" i="31"/>
  <c r="C11" i="31" s="1"/>
  <c r="D11" i="31" s="1"/>
  <c r="E11" i="31" s="1"/>
  <c r="F11" i="31" s="1"/>
  <c r="G11" i="31" s="1"/>
  <c r="H11" i="31" s="1"/>
  <c r="I11" i="31" s="1"/>
  <c r="J11" i="31" s="1"/>
  <c r="K11" i="31" s="1"/>
  <c r="L11" i="31" s="1"/>
  <c r="M11" i="31" s="1"/>
  <c r="B10" i="31"/>
  <c r="C10" i="31" s="1"/>
  <c r="D10" i="31" s="1"/>
  <c r="E10" i="31" s="1"/>
  <c r="F10" i="31" s="1"/>
  <c r="G10" i="31" s="1"/>
  <c r="H10" i="31" s="1"/>
  <c r="I10" i="31" s="1"/>
  <c r="J10" i="31" s="1"/>
  <c r="K10" i="31" s="1"/>
  <c r="L10" i="31" s="1"/>
  <c r="M10" i="31" s="1"/>
  <c r="N10" i="31" s="1"/>
  <c r="O10" i="31" s="1"/>
  <c r="P10" i="31" s="1"/>
  <c r="Q10" i="31" s="1"/>
  <c r="B9" i="31"/>
  <c r="C9" i="31" s="1"/>
  <c r="D9" i="31" s="1"/>
  <c r="E9" i="31" s="1"/>
  <c r="F9" i="31" s="1"/>
  <c r="G9" i="31" s="1"/>
  <c r="H9" i="31" s="1"/>
  <c r="I9" i="31" s="1"/>
  <c r="J9" i="31" s="1"/>
  <c r="K9" i="31" s="1"/>
  <c r="L9" i="31" s="1"/>
  <c r="M9" i="31" s="1"/>
  <c r="N9" i="31" s="1"/>
  <c r="O9" i="31" s="1"/>
  <c r="P9" i="31" s="1"/>
  <c r="Q9" i="31" s="1"/>
  <c r="R9" i="31" s="1"/>
  <c r="S9" i="31" s="1"/>
  <c r="T9" i="31" s="1"/>
  <c r="U9" i="31" s="1"/>
  <c r="V9" i="31" s="1"/>
  <c r="B8" i="31"/>
  <c r="C8" i="31" s="1"/>
  <c r="D8" i="31" s="1"/>
  <c r="E8" i="31" s="1"/>
  <c r="F8" i="31" s="1"/>
  <c r="G8" i="31" s="1"/>
  <c r="H8" i="31" s="1"/>
  <c r="I8" i="31" s="1"/>
  <c r="J8" i="31" s="1"/>
  <c r="K8" i="31" s="1"/>
  <c r="L8" i="31" s="1"/>
  <c r="M8" i="31" s="1"/>
  <c r="N8" i="31" s="1"/>
  <c r="O8" i="31" s="1"/>
  <c r="P8" i="31" s="1"/>
  <c r="Q8" i="31" s="1"/>
  <c r="B7" i="31"/>
  <c r="C7" i="31" s="1"/>
  <c r="D7" i="31" s="1"/>
  <c r="E7" i="31" s="1"/>
  <c r="F7" i="31" s="1"/>
  <c r="G7" i="31" s="1"/>
  <c r="H7" i="31" s="1"/>
  <c r="I7" i="31" s="1"/>
  <c r="J7" i="31" s="1"/>
  <c r="K7" i="31" s="1"/>
  <c r="L7" i="31" s="1"/>
  <c r="M7" i="31" s="1"/>
  <c r="N7" i="31" s="1"/>
  <c r="O7" i="31" s="1"/>
  <c r="P7" i="31" s="1"/>
  <c r="Q7" i="31" s="1"/>
  <c r="R7" i="31" s="1"/>
  <c r="S7" i="31" s="1"/>
  <c r="T7" i="31" s="1"/>
  <c r="U7" i="31" s="1"/>
  <c r="V7" i="31" s="1"/>
  <c r="W7" i="31" s="1"/>
  <c r="B6" i="31"/>
  <c r="C6" i="31" s="1"/>
  <c r="D6" i="31" s="1"/>
  <c r="E6" i="31" s="1"/>
  <c r="F6" i="31" s="1"/>
  <c r="G6" i="31" s="1"/>
  <c r="H6" i="31" s="1"/>
  <c r="I6" i="31" s="1"/>
  <c r="J6" i="31" s="1"/>
  <c r="B5" i="31"/>
  <c r="C5" i="31" s="1"/>
  <c r="D5" i="31" s="1"/>
  <c r="E5" i="31" s="1"/>
  <c r="F5" i="31" s="1"/>
  <c r="G5" i="31" s="1"/>
  <c r="H5" i="31" s="1"/>
  <c r="I5" i="31" s="1"/>
  <c r="J5" i="31" s="1"/>
  <c r="K5" i="31" s="1"/>
  <c r="L5" i="31" s="1"/>
  <c r="M5" i="31" s="1"/>
  <c r="N5" i="31" s="1"/>
  <c r="O5" i="31" s="1"/>
  <c r="P5" i="31" s="1"/>
  <c r="B4" i="31"/>
  <c r="C4" i="31" s="1"/>
  <c r="D4" i="31" s="1"/>
  <c r="E4" i="31" s="1"/>
  <c r="F4" i="31" s="1"/>
  <c r="G4" i="31" s="1"/>
  <c r="H4" i="31" s="1"/>
  <c r="I4" i="31" s="1"/>
  <c r="J4" i="31" s="1"/>
  <c r="K4" i="31" s="1"/>
  <c r="L4" i="31" s="1"/>
  <c r="M4" i="31" s="1"/>
  <c r="N4" i="31" s="1"/>
  <c r="O4" i="31" s="1"/>
  <c r="B3" i="31"/>
  <c r="C3" i="31" s="1"/>
  <c r="D3" i="31" s="1"/>
  <c r="E3" i="31" s="1"/>
  <c r="F3" i="31" s="1"/>
  <c r="G3" i="31" s="1"/>
  <c r="H3" i="31" s="1"/>
  <c r="I3" i="31" s="1"/>
  <c r="J3" i="31" s="1"/>
  <c r="K3" i="31" s="1"/>
  <c r="L3" i="31" s="1"/>
  <c r="M3" i="31" s="1"/>
  <c r="N3" i="31" s="1"/>
  <c r="B2" i="31"/>
  <c r="C2" i="31" s="1"/>
  <c r="D2" i="31" s="1"/>
  <c r="E2" i="31" s="1"/>
  <c r="F2" i="31" s="1"/>
  <c r="G2" i="31" s="1"/>
  <c r="H2" i="31" s="1"/>
  <c r="I2" i="31" s="1"/>
  <c r="J2" i="31" s="1"/>
  <c r="K2" i="31" s="1"/>
  <c r="L2" i="31" s="1"/>
  <c r="M2" i="31" s="1"/>
  <c r="N2" i="31" s="1"/>
  <c r="O2" i="31" s="1"/>
  <c r="P2" i="31" s="1"/>
  <c r="Q2" i="31" s="1"/>
  <c r="R2" i="31" s="1"/>
  <c r="B12" i="29"/>
  <c r="C12" i="29" s="1"/>
  <c r="D12" i="29" s="1"/>
  <c r="E12" i="29" s="1"/>
  <c r="F12" i="29" s="1"/>
  <c r="G12" i="29" s="1"/>
  <c r="H12" i="29" s="1"/>
  <c r="I12" i="29" s="1"/>
  <c r="J12" i="29" s="1"/>
  <c r="K12" i="29" s="1"/>
  <c r="L12" i="29" s="1"/>
  <c r="M12" i="29" s="1"/>
  <c r="N12" i="29" s="1"/>
  <c r="O12" i="29" s="1"/>
  <c r="B11" i="29"/>
  <c r="C11" i="29" s="1"/>
  <c r="D11" i="29" s="1"/>
  <c r="E11" i="29" s="1"/>
  <c r="F11" i="29" s="1"/>
  <c r="G11" i="29" s="1"/>
  <c r="H11" i="29" s="1"/>
  <c r="I11" i="29" s="1"/>
  <c r="J11" i="29" s="1"/>
  <c r="K11" i="29" s="1"/>
  <c r="B10" i="29"/>
  <c r="C10" i="29" s="1"/>
  <c r="D10" i="29" s="1"/>
  <c r="E10" i="29" s="1"/>
  <c r="F10" i="29" s="1"/>
  <c r="G10" i="29" s="1"/>
  <c r="H10" i="29" s="1"/>
  <c r="I10" i="29" s="1"/>
  <c r="J10" i="29" s="1"/>
  <c r="K10" i="29" s="1"/>
  <c r="L10" i="29" s="1"/>
  <c r="M10" i="29" s="1"/>
  <c r="N10" i="29" s="1"/>
  <c r="O10" i="29" s="1"/>
  <c r="B9" i="29"/>
  <c r="C9" i="29" s="1"/>
  <c r="D9" i="29" s="1"/>
  <c r="E9" i="29" s="1"/>
  <c r="F9" i="29" s="1"/>
  <c r="G9" i="29" s="1"/>
  <c r="H9" i="29" s="1"/>
  <c r="I9" i="29" s="1"/>
  <c r="J9" i="29" s="1"/>
  <c r="K9" i="29" s="1"/>
  <c r="L9" i="29" s="1"/>
  <c r="M9" i="29" s="1"/>
  <c r="N9" i="29" s="1"/>
  <c r="O9" i="29" s="1"/>
  <c r="B8" i="29"/>
  <c r="C8" i="29" s="1"/>
  <c r="D8" i="29" s="1"/>
  <c r="E8" i="29" s="1"/>
  <c r="F8" i="29" s="1"/>
  <c r="G8" i="29" s="1"/>
  <c r="H8" i="29" s="1"/>
  <c r="I8" i="29" s="1"/>
  <c r="J8" i="29" s="1"/>
  <c r="K8" i="29" s="1"/>
  <c r="L8" i="29" s="1"/>
  <c r="M8" i="29" s="1"/>
  <c r="N8" i="29" s="1"/>
  <c r="B7" i="29"/>
  <c r="C7" i="29" s="1"/>
  <c r="D7" i="29" s="1"/>
  <c r="E7" i="29" s="1"/>
  <c r="F7" i="29" s="1"/>
  <c r="G7" i="29" s="1"/>
  <c r="H7" i="29" s="1"/>
  <c r="I7" i="29" s="1"/>
  <c r="J7" i="29" s="1"/>
  <c r="K7" i="29" s="1"/>
  <c r="L7" i="29" s="1"/>
  <c r="M7" i="29" s="1"/>
  <c r="N7" i="29" s="1"/>
  <c r="O7" i="29" s="1"/>
  <c r="P7" i="29" s="1"/>
  <c r="Q7" i="29" s="1"/>
  <c r="R7" i="29" s="1"/>
  <c r="S7" i="29" s="1"/>
  <c r="T7" i="29" s="1"/>
  <c r="U7" i="29" s="1"/>
  <c r="B6" i="29"/>
  <c r="C6" i="29" s="1"/>
  <c r="D6" i="29" s="1"/>
  <c r="E6" i="29" s="1"/>
  <c r="F6" i="29" s="1"/>
  <c r="G6" i="29" s="1"/>
  <c r="H6" i="29" s="1"/>
  <c r="I6" i="29" s="1"/>
  <c r="J6" i="29" s="1"/>
  <c r="B5" i="29"/>
  <c r="C5" i="29" s="1"/>
  <c r="D5" i="29" s="1"/>
  <c r="E5" i="29" s="1"/>
  <c r="F5" i="29" s="1"/>
  <c r="G5" i="29" s="1"/>
  <c r="H5" i="29" s="1"/>
  <c r="I5" i="29" s="1"/>
  <c r="J5" i="29" s="1"/>
  <c r="K5" i="29" s="1"/>
  <c r="L5" i="29" s="1"/>
  <c r="M5" i="29" s="1"/>
  <c r="N5" i="29" s="1"/>
  <c r="O5" i="29" s="1"/>
  <c r="B4" i="29"/>
  <c r="C4" i="29" s="1"/>
  <c r="D4" i="29" s="1"/>
  <c r="E4" i="29" s="1"/>
  <c r="F4" i="29" s="1"/>
  <c r="G4" i="29" s="1"/>
  <c r="H4" i="29" s="1"/>
  <c r="I4" i="29" s="1"/>
  <c r="J4" i="29" s="1"/>
  <c r="K4" i="29" s="1"/>
  <c r="L4" i="29" s="1"/>
  <c r="M4" i="29" s="1"/>
  <c r="N4" i="29" s="1"/>
  <c r="O4" i="29" s="1"/>
  <c r="B3" i="29"/>
  <c r="C3" i="29" s="1"/>
  <c r="D3" i="29" s="1"/>
  <c r="E3" i="29" s="1"/>
  <c r="F3" i="29" s="1"/>
  <c r="G3" i="29" s="1"/>
  <c r="H3" i="29" s="1"/>
  <c r="I3" i="29" s="1"/>
  <c r="J3" i="29" s="1"/>
  <c r="K3" i="29" s="1"/>
  <c r="L3" i="29" s="1"/>
  <c r="M3" i="29" s="1"/>
  <c r="N3" i="29" s="1"/>
  <c r="B2" i="29"/>
  <c r="C2" i="29" s="1"/>
  <c r="D2" i="29" s="1"/>
  <c r="E2" i="29" s="1"/>
  <c r="F2" i="29" s="1"/>
  <c r="G2" i="29" s="1"/>
  <c r="H2" i="29" s="1"/>
  <c r="I2" i="29" s="1"/>
  <c r="J2" i="29" s="1"/>
  <c r="K2" i="29" s="1"/>
  <c r="L2" i="29" s="1"/>
  <c r="M2" i="29" s="1"/>
  <c r="N2" i="29" s="1"/>
  <c r="O2" i="29" s="1"/>
  <c r="P2" i="29" s="1"/>
  <c r="Q2" i="29" s="1"/>
  <c r="R2" i="29" s="1"/>
  <c r="S2" i="29" s="1"/>
  <c r="T2" i="29" s="1"/>
  <c r="U2" i="29" s="1"/>
  <c r="B12" i="27"/>
  <c r="C12" i="27" s="1"/>
  <c r="D12" i="27" s="1"/>
  <c r="E12" i="27" s="1"/>
  <c r="F12" i="27" s="1"/>
  <c r="G12" i="27" s="1"/>
  <c r="H12" i="27" s="1"/>
  <c r="I12" i="27" s="1"/>
  <c r="J12" i="27" s="1"/>
  <c r="K12" i="27" s="1"/>
  <c r="L12" i="27" s="1"/>
  <c r="M12" i="27" s="1"/>
  <c r="N12" i="27" s="1"/>
  <c r="B11" i="27"/>
  <c r="C11" i="27" s="1"/>
  <c r="D11" i="27" s="1"/>
  <c r="E11" i="27" s="1"/>
  <c r="F11" i="27" s="1"/>
  <c r="G11" i="27" s="1"/>
  <c r="H11" i="27" s="1"/>
  <c r="I11" i="27" s="1"/>
  <c r="J11" i="27" s="1"/>
  <c r="K11" i="27" s="1"/>
  <c r="L11" i="27" s="1"/>
  <c r="M11" i="27" s="1"/>
  <c r="B10" i="27"/>
  <c r="C10" i="27" s="1"/>
  <c r="D10" i="27" s="1"/>
  <c r="E10" i="27" s="1"/>
  <c r="F10" i="27" s="1"/>
  <c r="G10" i="27" s="1"/>
  <c r="H10" i="27" s="1"/>
  <c r="I10" i="27" s="1"/>
  <c r="J10" i="27" s="1"/>
  <c r="K10" i="27" s="1"/>
  <c r="B9" i="27"/>
  <c r="C9" i="27" s="1"/>
  <c r="D9" i="27" s="1"/>
  <c r="E9" i="27" s="1"/>
  <c r="F9" i="27" s="1"/>
  <c r="G9" i="27" s="1"/>
  <c r="H9" i="27" s="1"/>
  <c r="I9" i="27" s="1"/>
  <c r="J9" i="27" s="1"/>
  <c r="K9" i="27" s="1"/>
  <c r="L9" i="27" s="1"/>
  <c r="M9" i="27" s="1"/>
  <c r="N9" i="27" s="1"/>
  <c r="O9" i="27" s="1"/>
  <c r="P9" i="27" s="1"/>
  <c r="Q9" i="27" s="1"/>
  <c r="R9" i="27" s="1"/>
  <c r="B8" i="27"/>
  <c r="C8" i="27" s="1"/>
  <c r="D8" i="27" s="1"/>
  <c r="E8" i="27" s="1"/>
  <c r="F8" i="27" s="1"/>
  <c r="G8" i="27" s="1"/>
  <c r="H8" i="27" s="1"/>
  <c r="I8" i="27" s="1"/>
  <c r="J8" i="27" s="1"/>
  <c r="K8" i="27" s="1"/>
  <c r="L8" i="27" s="1"/>
  <c r="M8" i="27" s="1"/>
  <c r="N8" i="27" s="1"/>
  <c r="O8" i="27" s="1"/>
  <c r="P8" i="27" s="1"/>
  <c r="B7" i="27"/>
  <c r="C7" i="27" s="1"/>
  <c r="D7" i="27" s="1"/>
  <c r="E7" i="27" s="1"/>
  <c r="F7" i="27" s="1"/>
  <c r="G7" i="27" s="1"/>
  <c r="H7" i="27" s="1"/>
  <c r="I7" i="27" s="1"/>
  <c r="J7" i="27" s="1"/>
  <c r="K7" i="27" s="1"/>
  <c r="L7" i="27" s="1"/>
  <c r="M7" i="27" s="1"/>
  <c r="N7" i="27" s="1"/>
  <c r="B6" i="27"/>
  <c r="C6" i="27" s="1"/>
  <c r="D6" i="27" s="1"/>
  <c r="E6" i="27" s="1"/>
  <c r="F6" i="27" s="1"/>
  <c r="G6" i="27" s="1"/>
  <c r="H6" i="27" s="1"/>
  <c r="I6" i="27" s="1"/>
  <c r="B5" i="27"/>
  <c r="C5" i="27" s="1"/>
  <c r="D5" i="27" s="1"/>
  <c r="E5" i="27" s="1"/>
  <c r="F5" i="27" s="1"/>
  <c r="G5" i="27" s="1"/>
  <c r="H5" i="27" s="1"/>
  <c r="I5" i="27" s="1"/>
  <c r="J5" i="27" s="1"/>
  <c r="K5" i="27" s="1"/>
  <c r="L5" i="27" s="1"/>
  <c r="M5" i="27" s="1"/>
  <c r="N5" i="27" s="1"/>
  <c r="O5" i="27" s="1"/>
  <c r="P5" i="27" s="1"/>
  <c r="Q5" i="27" s="1"/>
  <c r="B4" i="27"/>
  <c r="C4" i="27" s="1"/>
  <c r="D4" i="27" s="1"/>
  <c r="E4" i="27" s="1"/>
  <c r="F4" i="27" s="1"/>
  <c r="G4" i="27" s="1"/>
  <c r="H4" i="27" s="1"/>
  <c r="I4" i="27" s="1"/>
  <c r="J4" i="27" s="1"/>
  <c r="K4" i="27" s="1"/>
  <c r="L4" i="27" s="1"/>
  <c r="M4" i="27" s="1"/>
  <c r="N4" i="27" s="1"/>
  <c r="B3" i="27"/>
  <c r="C3" i="27" s="1"/>
  <c r="D3" i="27" s="1"/>
  <c r="E3" i="27" s="1"/>
  <c r="F3" i="27" s="1"/>
  <c r="G3" i="27" s="1"/>
  <c r="H3" i="27" s="1"/>
  <c r="I3" i="27" s="1"/>
  <c r="J3" i="27" s="1"/>
  <c r="K3" i="27" s="1"/>
  <c r="L3" i="27" s="1"/>
  <c r="M3" i="27" s="1"/>
  <c r="N3" i="27" s="1"/>
  <c r="O3" i="27" s="1"/>
  <c r="P3" i="27" s="1"/>
  <c r="Q3" i="27" s="1"/>
  <c r="B2" i="27"/>
  <c r="C2" i="27" s="1"/>
  <c r="D2" i="27" s="1"/>
  <c r="E2" i="27" s="1"/>
  <c r="F2" i="27" s="1"/>
  <c r="G2" i="27" s="1"/>
  <c r="H2" i="27" s="1"/>
  <c r="I2" i="27" s="1"/>
  <c r="J2" i="27" s="1"/>
  <c r="K2" i="27" s="1"/>
  <c r="L2" i="27" s="1"/>
  <c r="M2" i="27" s="1"/>
  <c r="N2" i="27" s="1"/>
  <c r="O2" i="27" s="1"/>
  <c r="P2" i="27" s="1"/>
  <c r="Q2" i="27" s="1"/>
  <c r="R2" i="27" s="1"/>
  <c r="S2" i="27" s="1"/>
  <c r="B12" i="25"/>
  <c r="C12" i="25" s="1"/>
  <c r="D12" i="25" s="1"/>
  <c r="E12" i="25" s="1"/>
  <c r="F12" i="25" s="1"/>
  <c r="G12" i="25" s="1"/>
  <c r="H12" i="25" s="1"/>
  <c r="I12" i="25" s="1"/>
  <c r="J12" i="25" s="1"/>
  <c r="K12" i="25" s="1"/>
  <c r="L12" i="25" s="1"/>
  <c r="M12" i="25" s="1"/>
  <c r="N12" i="25" s="1"/>
  <c r="B11" i="25"/>
  <c r="C11" i="25" s="1"/>
  <c r="D11" i="25" s="1"/>
  <c r="E11" i="25" s="1"/>
  <c r="F11" i="25" s="1"/>
  <c r="G11" i="25" s="1"/>
  <c r="H11" i="25" s="1"/>
  <c r="I11" i="25" s="1"/>
  <c r="J11" i="25" s="1"/>
  <c r="K11" i="25" s="1"/>
  <c r="B10" i="25"/>
  <c r="C10" i="25" s="1"/>
  <c r="D10" i="25" s="1"/>
  <c r="E10" i="25" s="1"/>
  <c r="F10" i="25" s="1"/>
  <c r="B9" i="25"/>
  <c r="C9" i="25" s="1"/>
  <c r="D9" i="25" s="1"/>
  <c r="E9" i="25" s="1"/>
  <c r="F9" i="25" s="1"/>
  <c r="G9" i="25" s="1"/>
  <c r="H9" i="25" s="1"/>
  <c r="I9" i="25" s="1"/>
  <c r="J9" i="25" s="1"/>
  <c r="B8" i="25"/>
  <c r="C8" i="25" s="1"/>
  <c r="D8" i="25" s="1"/>
  <c r="E8" i="25" s="1"/>
  <c r="F8" i="25" s="1"/>
  <c r="G8" i="25" s="1"/>
  <c r="H8" i="25" s="1"/>
  <c r="I8" i="25" s="1"/>
  <c r="J8" i="25" s="1"/>
  <c r="K8" i="25" s="1"/>
  <c r="L8" i="25" s="1"/>
  <c r="M8" i="25" s="1"/>
  <c r="B7" i="25"/>
  <c r="C7" i="25" s="1"/>
  <c r="B6" i="25"/>
  <c r="B5" i="25"/>
  <c r="C5" i="25" s="1"/>
  <c r="D5" i="25" s="1"/>
  <c r="E5" i="25" s="1"/>
  <c r="F5" i="25" s="1"/>
  <c r="G5" i="25" s="1"/>
  <c r="H5" i="25" s="1"/>
  <c r="I5" i="25" s="1"/>
  <c r="J5" i="25" s="1"/>
  <c r="K5" i="25" s="1"/>
  <c r="L5" i="25" s="1"/>
  <c r="M5" i="25" s="1"/>
  <c r="N5" i="25" s="1"/>
  <c r="O5" i="25" s="1"/>
  <c r="P5" i="25" s="1"/>
  <c r="B4" i="25"/>
  <c r="C4" i="25" s="1"/>
  <c r="D4" i="25" s="1"/>
  <c r="E4" i="25" s="1"/>
  <c r="F4" i="25" s="1"/>
  <c r="G4" i="25" s="1"/>
  <c r="H4" i="25" s="1"/>
  <c r="I4" i="25" s="1"/>
  <c r="J4" i="25" s="1"/>
  <c r="K4" i="25" s="1"/>
  <c r="L4" i="25" s="1"/>
  <c r="B3" i="25"/>
  <c r="C3" i="25" s="1"/>
  <c r="D3" i="25" s="1"/>
  <c r="E3" i="25" s="1"/>
  <c r="F3" i="25" s="1"/>
  <c r="G3" i="25" s="1"/>
  <c r="H3" i="25" s="1"/>
  <c r="I3" i="25" s="1"/>
  <c r="J3" i="25" s="1"/>
  <c r="K3" i="25" s="1"/>
  <c r="L3" i="25" s="1"/>
  <c r="M3" i="25" s="1"/>
  <c r="N3" i="25" s="1"/>
  <c r="O3" i="25" s="1"/>
  <c r="B2" i="25"/>
  <c r="C2" i="25" s="1"/>
  <c r="D2" i="25" s="1"/>
  <c r="E2" i="25" s="1"/>
  <c r="F2" i="25" s="1"/>
  <c r="G2" i="25" s="1"/>
  <c r="H2" i="25" s="1"/>
  <c r="I2" i="25" s="1"/>
  <c r="J2" i="25" s="1"/>
  <c r="K2" i="25" s="1"/>
  <c r="L2" i="25" s="1"/>
  <c r="M2" i="25" s="1"/>
  <c r="N2" i="25" s="1"/>
  <c r="O2" i="25" s="1"/>
  <c r="P2" i="25" s="1"/>
  <c r="Q2" i="25" s="1"/>
  <c r="R2" i="25" s="1"/>
  <c r="S2" i="25" s="1"/>
  <c r="T2" i="25" s="1"/>
  <c r="U2" i="25" s="1"/>
  <c r="B12" i="2"/>
  <c r="C12" i="2" s="1"/>
  <c r="R13" i="11" s="1"/>
  <c r="B12" i="7"/>
  <c r="B11" i="7"/>
  <c r="W101" i="5"/>
  <c r="T100" i="5"/>
  <c r="T99" i="5"/>
  <c r="AA56" i="1"/>
  <c r="W14" i="4" s="1"/>
  <c r="AA55" i="1"/>
  <c r="V14" i="4" s="1"/>
  <c r="AA54" i="1"/>
  <c r="U14" i="4" s="1"/>
  <c r="AA53" i="1"/>
  <c r="T14" i="4" s="1"/>
  <c r="B12" i="3"/>
  <c r="C12" i="3" s="1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11" i="2"/>
  <c r="D11" i="7" s="1"/>
  <c r="W93" i="5"/>
  <c r="T93" i="5"/>
  <c r="T92" i="5"/>
  <c r="T91" i="5"/>
  <c r="W90" i="5"/>
  <c r="AA51" i="1"/>
  <c r="W15" i="4" s="1"/>
  <c r="AA50" i="1"/>
  <c r="V15" i="4" s="1"/>
  <c r="AA49" i="1"/>
  <c r="U15" i="4" s="1"/>
  <c r="AA48" i="1"/>
  <c r="T15" i="4" s="1"/>
  <c r="B11" i="3"/>
  <c r="C11" i="3" s="1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B10" i="3"/>
  <c r="C10" i="3" s="1"/>
  <c r="D10" i="3" s="1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AT10" i="3" s="1"/>
  <c r="AA46" i="1"/>
  <c r="W12" i="4" s="1"/>
  <c r="AA45" i="1"/>
  <c r="V12" i="4" s="1"/>
  <c r="AA44" i="1"/>
  <c r="U12" i="4" s="1"/>
  <c r="AA43" i="1"/>
  <c r="T12" i="4" s="1"/>
  <c r="W77" i="5"/>
  <c r="B10" i="7"/>
  <c r="B6" i="7"/>
  <c r="B9" i="7"/>
  <c r="B8" i="7"/>
  <c r="B4" i="7"/>
  <c r="Y80" i="5"/>
  <c r="W79" i="5"/>
  <c r="W51" i="5"/>
  <c r="W52" i="5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A1" i="11"/>
  <c r="B8" i="2"/>
  <c r="B9" i="3"/>
  <c r="C9" i="3" s="1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7" i="2"/>
  <c r="C7" i="2" s="1"/>
  <c r="B3" i="2"/>
  <c r="B7" i="7"/>
  <c r="B5" i="7"/>
  <c r="B3" i="7"/>
  <c r="B2" i="7"/>
  <c r="AA41" i="1"/>
  <c r="W10" i="4" s="1"/>
  <c r="AA40" i="1"/>
  <c r="V10" i="4" s="1"/>
  <c r="AA39" i="1"/>
  <c r="U10" i="4" s="1"/>
  <c r="AA38" i="1"/>
  <c r="T10" i="4" s="1"/>
  <c r="Z258" i="1"/>
  <c r="X258" i="1"/>
  <c r="W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AA254" i="1"/>
  <c r="AA36" i="1"/>
  <c r="W7" i="4" s="1"/>
  <c r="AA35" i="1"/>
  <c r="V7" i="4" s="1"/>
  <c r="AA34" i="1"/>
  <c r="U7" i="4" s="1"/>
  <c r="AA33" i="1"/>
  <c r="T7" i="4" s="1"/>
  <c r="B8" i="3"/>
  <c r="C8" i="3" s="1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AA29" i="1"/>
  <c r="U6" i="4" s="1"/>
  <c r="AA30" i="1"/>
  <c r="V6" i="4" s="1"/>
  <c r="AA31" i="1"/>
  <c r="W6" i="4" s="1"/>
  <c r="AA20" i="1"/>
  <c r="V3" i="4" s="1"/>
  <c r="B7" i="3"/>
  <c r="C7" i="3" s="1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AA28" i="1"/>
  <c r="T6" i="4" s="1"/>
  <c r="AA26" i="1"/>
  <c r="W11" i="4" s="1"/>
  <c r="AA25" i="1"/>
  <c r="V11" i="4" s="1"/>
  <c r="AA24" i="1"/>
  <c r="U11" i="4" s="1"/>
  <c r="AA23" i="1"/>
  <c r="T11" i="4" s="1"/>
  <c r="AA21" i="1"/>
  <c r="W3" i="4" s="1"/>
  <c r="AA19" i="1"/>
  <c r="U3" i="4" s="1"/>
  <c r="AA18" i="1"/>
  <c r="T3" i="4" s="1"/>
  <c r="AA16" i="1"/>
  <c r="W9" i="4" s="1"/>
  <c r="AA15" i="1"/>
  <c r="V9" i="4" s="1"/>
  <c r="AA14" i="1"/>
  <c r="U9" i="4" s="1"/>
  <c r="AA13" i="1"/>
  <c r="T9" i="4" s="1"/>
  <c r="AA11" i="1"/>
  <c r="W5" i="4" s="1"/>
  <c r="AA10" i="1"/>
  <c r="V5" i="4" s="1"/>
  <c r="AA9" i="1"/>
  <c r="U5" i="4" s="1"/>
  <c r="AA8" i="1"/>
  <c r="T5" i="4" s="1"/>
  <c r="B6" i="3"/>
  <c r="C6" i="3" s="1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B5" i="3"/>
  <c r="C5" i="3" s="1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4" i="3"/>
  <c r="C4" i="3" s="1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3" i="3"/>
  <c r="C3" i="3" s="1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2" i="3"/>
  <c r="C2" i="3" s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AC5" i="4" l="1"/>
  <c r="AB255" i="1"/>
  <c r="AE208" i="5"/>
  <c r="AB208" i="5"/>
  <c r="AA208" i="5"/>
  <c r="AA205" i="5"/>
  <c r="W204" i="5"/>
  <c r="AD205" i="5"/>
  <c r="Y205" i="5"/>
  <c r="V204" i="5"/>
  <c r="AD206" i="5"/>
  <c r="R205" i="5"/>
  <c r="AB204" i="5"/>
  <c r="AC204" i="5"/>
  <c r="AA204" i="5"/>
  <c r="AD204" i="5"/>
  <c r="AF204" i="5"/>
  <c r="X204" i="5"/>
  <c r="Z204" i="5"/>
  <c r="AG204" i="5"/>
  <c r="Z205" i="5"/>
  <c r="J53" i="4"/>
  <c r="Y204" i="5"/>
  <c r="AH206" i="5"/>
  <c r="AD208" i="5"/>
  <c r="AC206" i="5"/>
  <c r="Y208" i="5"/>
  <c r="Y206" i="5"/>
  <c r="AE204" i="5"/>
  <c r="AH204" i="5"/>
  <c r="AC205" i="5"/>
  <c r="AA206" i="5"/>
  <c r="X50" i="4"/>
  <c r="Y50" i="4"/>
  <c r="AA50" i="4"/>
  <c r="Z50" i="4"/>
  <c r="U204" i="5"/>
  <c r="Q204" i="5"/>
  <c r="U205" i="5"/>
  <c r="T205" i="5"/>
  <c r="T204" i="5"/>
  <c r="V207" i="5"/>
  <c r="S204" i="5"/>
  <c r="X208" i="5"/>
  <c r="M204" i="5"/>
  <c r="P204" i="5"/>
  <c r="N204" i="5"/>
  <c r="O204" i="5"/>
  <c r="AA47" i="4"/>
  <c r="X47" i="4"/>
  <c r="Y47" i="4"/>
  <c r="Z47" i="4"/>
  <c r="V205" i="5"/>
  <c r="Q208" i="5"/>
  <c r="X206" i="5"/>
  <c r="M205" i="5"/>
  <c r="J208" i="5"/>
  <c r="H206" i="5"/>
  <c r="C3" i="2"/>
  <c r="E3" i="7" s="1"/>
  <c r="R204" i="5"/>
  <c r="R206" i="5"/>
  <c r="U208" i="5"/>
  <c r="U207" i="5"/>
  <c r="X41" i="4"/>
  <c r="Z41" i="4"/>
  <c r="Y41" i="4"/>
  <c r="AA41" i="4"/>
  <c r="W205" i="5"/>
  <c r="Q205" i="5"/>
  <c r="K204" i="5"/>
  <c r="O205" i="5"/>
  <c r="L204" i="5"/>
  <c r="S205" i="5"/>
  <c r="X39" i="4"/>
  <c r="Y39" i="4"/>
  <c r="Z39" i="4"/>
  <c r="AA39" i="4"/>
  <c r="AL207" i="5"/>
  <c r="N208" i="5"/>
  <c r="H204" i="5"/>
  <c r="I204" i="5"/>
  <c r="J204" i="5"/>
  <c r="G204" i="5"/>
  <c r="AA48" i="4"/>
  <c r="X48" i="4"/>
  <c r="Y48" i="4"/>
  <c r="Z48" i="4"/>
  <c r="G206" i="5"/>
  <c r="M206" i="5"/>
  <c r="C258" i="1"/>
  <c r="N207" i="5"/>
  <c r="L206" i="5"/>
  <c r="O206" i="5"/>
  <c r="J205" i="5"/>
  <c r="E204" i="5"/>
  <c r="F204" i="5"/>
  <c r="K208" i="5"/>
  <c r="X36" i="4"/>
  <c r="Z36" i="4"/>
  <c r="Y36" i="4"/>
  <c r="AA36" i="4"/>
  <c r="F205" i="5"/>
  <c r="C204" i="5"/>
  <c r="I206" i="5"/>
  <c r="D204" i="5"/>
  <c r="K205" i="5"/>
  <c r="J206" i="5"/>
  <c r="H205" i="5"/>
  <c r="X32" i="4"/>
  <c r="Y32" i="4"/>
  <c r="Z32" i="4"/>
  <c r="AA32" i="4"/>
  <c r="N205" i="5"/>
  <c r="Y45" i="4"/>
  <c r="Z45" i="4"/>
  <c r="X45" i="4"/>
  <c r="AJ205" i="5"/>
  <c r="AA45" i="4"/>
  <c r="C4" i="2"/>
  <c r="D4" i="2" s="1"/>
  <c r="F4" i="7" s="1"/>
  <c r="B204" i="5"/>
  <c r="P206" i="5"/>
  <c r="B206" i="5"/>
  <c r="X49" i="4"/>
  <c r="X40" i="4"/>
  <c r="Y49" i="4"/>
  <c r="Y40" i="4"/>
  <c r="Z49" i="4"/>
  <c r="Z40" i="4"/>
  <c r="AA40" i="4"/>
  <c r="AA49" i="4"/>
  <c r="AH215" i="5"/>
  <c r="E205" i="5"/>
  <c r="I208" i="5"/>
  <c r="H207" i="5"/>
  <c r="AJ212" i="5"/>
  <c r="F208" i="5"/>
  <c r="X43" i="4"/>
  <c r="Y43" i="4"/>
  <c r="AA43" i="4"/>
  <c r="Z4" i="4"/>
  <c r="N24" i="4"/>
  <c r="I25" i="43" s="1"/>
  <c r="AA4" i="4"/>
  <c r="AH211" i="5"/>
  <c r="AN205" i="5"/>
  <c r="L24" i="4"/>
  <c r="X4" i="4"/>
  <c r="C207" i="5"/>
  <c r="AJ211" i="5"/>
  <c r="AJ208" i="5"/>
  <c r="AH212" i="5"/>
  <c r="M24" i="4"/>
  <c r="H25" i="43" s="1"/>
  <c r="K4" i="4"/>
  <c r="AL205" i="5"/>
  <c r="C205" i="5"/>
  <c r="AJ204" i="5"/>
  <c r="AL204" i="5"/>
  <c r="AL208" i="5"/>
  <c r="AH208" i="5"/>
  <c r="D7" i="11"/>
  <c r="E7" i="11" s="1"/>
  <c r="O24" i="4"/>
  <c r="J25" i="43" s="1"/>
  <c r="Z43" i="4"/>
  <c r="Y4" i="4"/>
  <c r="AN204" i="5"/>
  <c r="BH24" i="4"/>
  <c r="BQ24" i="4" s="1"/>
  <c r="N25" i="43"/>
  <c r="I22" i="4"/>
  <c r="K22" i="43" s="1"/>
  <c r="BF17" i="4"/>
  <c r="B2" i="2"/>
  <c r="C2" i="2" s="1"/>
  <c r="D2" i="2" s="1"/>
  <c r="G2" i="7" s="1"/>
  <c r="C7" i="1"/>
  <c r="F4" i="4" s="1"/>
  <c r="C22" i="1"/>
  <c r="F3" i="4" s="1"/>
  <c r="BK38" i="4"/>
  <c r="BJ38" i="4" s="1"/>
  <c r="AE19" i="11"/>
  <c r="AF19" i="11" s="1"/>
  <c r="BK31" i="4"/>
  <c r="BJ31" i="4" s="1"/>
  <c r="BK30" i="4"/>
  <c r="BJ30" i="4" s="1"/>
  <c r="BK46" i="4"/>
  <c r="BJ46" i="4" s="1"/>
  <c r="P208" i="5"/>
  <c r="T206" i="5"/>
  <c r="AY206" i="5"/>
  <c r="O208" i="5"/>
  <c r="N206" i="5"/>
  <c r="AD18" i="11"/>
  <c r="O26" i="53" s="1"/>
  <c r="BK42" i="4"/>
  <c r="BJ42" i="4" s="1"/>
  <c r="AZ205" i="5"/>
  <c r="AQ204" i="5"/>
  <c r="AT204" i="5"/>
  <c r="AS205" i="5"/>
  <c r="K13" i="4"/>
  <c r="K9" i="4"/>
  <c r="AY204" i="5"/>
  <c r="C10" i="2"/>
  <c r="D10" i="2" s="1"/>
  <c r="I14" i="4"/>
  <c r="K14" i="43" s="1"/>
  <c r="K11" i="4"/>
  <c r="I10" i="4"/>
  <c r="K10" i="43" s="1"/>
  <c r="H35" i="54"/>
  <c r="AZ204" i="5"/>
  <c r="AV204" i="5"/>
  <c r="AW204" i="5"/>
  <c r="AX204" i="5"/>
  <c r="AX206" i="5"/>
  <c r="H34" i="54"/>
  <c r="AW53" i="4"/>
  <c r="AX53" i="4"/>
  <c r="BF12" i="4"/>
  <c r="AY53" i="4"/>
  <c r="BA53" i="4"/>
  <c r="AZ53" i="4"/>
  <c r="X205" i="5"/>
  <c r="J28" i="54"/>
  <c r="BD22" i="4"/>
  <c r="BD19" i="4"/>
  <c r="BD14" i="4"/>
  <c r="BD10" i="4"/>
  <c r="BD6" i="4"/>
  <c r="BF27" i="4"/>
  <c r="BF20" i="4"/>
  <c r="AZ208" i="5"/>
  <c r="AC207" i="5"/>
  <c r="K21" i="4"/>
  <c r="K15" i="4"/>
  <c r="K14" i="4"/>
  <c r="K10" i="4"/>
  <c r="K7" i="4"/>
  <c r="K6" i="4"/>
  <c r="K5" i="4"/>
  <c r="K3" i="4"/>
  <c r="AR204" i="5"/>
  <c r="AA257" i="1"/>
  <c r="AA255" i="1"/>
  <c r="K12" i="4"/>
  <c r="I26" i="4"/>
  <c r="B5" i="2"/>
  <c r="E5" i="7" s="1"/>
  <c r="C13" i="2"/>
  <c r="S14" i="11" s="1"/>
  <c r="AO204" i="5"/>
  <c r="AP204" i="5"/>
  <c r="BF18" i="4"/>
  <c r="BF13" i="4"/>
  <c r="AS204" i="5"/>
  <c r="AU204" i="5"/>
  <c r="BF44" i="4"/>
  <c r="BF28" i="4"/>
  <c r="BF21" i="4"/>
  <c r="BF9" i="4"/>
  <c r="BE29" i="4"/>
  <c r="BE23" i="4"/>
  <c r="BE16" i="4"/>
  <c r="BE15" i="4"/>
  <c r="BE13" i="4"/>
  <c r="BE11" i="4"/>
  <c r="BE8" i="4"/>
  <c r="I16" i="4"/>
  <c r="K16" i="43" s="1"/>
  <c r="BD23" i="4"/>
  <c r="BD21" i="4"/>
  <c r="BD18" i="4"/>
  <c r="BD15" i="4"/>
  <c r="BD13" i="4"/>
  <c r="BD11" i="4"/>
  <c r="BD8" i="4"/>
  <c r="BD5" i="4"/>
  <c r="BE26" i="4"/>
  <c r="BE20" i="4"/>
  <c r="BE17" i="4"/>
  <c r="BE12" i="4"/>
  <c r="BE9" i="4"/>
  <c r="BE3" i="4"/>
  <c r="BF8" i="4"/>
  <c r="AT205" i="5"/>
  <c r="AP205" i="5"/>
  <c r="B3" i="11"/>
  <c r="C4" i="53" s="1"/>
  <c r="C4" i="54" s="1"/>
  <c r="K23" i="4"/>
  <c r="K8" i="4"/>
  <c r="K44" i="4"/>
  <c r="K26" i="4"/>
  <c r="Z206" i="5"/>
  <c r="W208" i="5"/>
  <c r="C87" i="1"/>
  <c r="F16" i="4" s="1"/>
  <c r="AK204" i="5"/>
  <c r="BF3" i="4"/>
  <c r="BF5" i="4"/>
  <c r="I18" i="4"/>
  <c r="K18" i="43" s="1"/>
  <c r="AQ208" i="5"/>
  <c r="I27" i="4"/>
  <c r="K27" i="43" s="1"/>
  <c r="AU206" i="5"/>
  <c r="AQ206" i="5"/>
  <c r="AQ205" i="5"/>
  <c r="I19" i="4"/>
  <c r="K19" i="43" s="1"/>
  <c r="AI24" i="4"/>
  <c r="I5" i="4"/>
  <c r="K5" i="43" s="1"/>
  <c r="I6" i="4"/>
  <c r="K6" i="43" s="1"/>
  <c r="I8" i="4"/>
  <c r="I4" i="4"/>
  <c r="I7" i="4"/>
  <c r="K7" i="43" s="1"/>
  <c r="AR206" i="5"/>
  <c r="I13" i="4"/>
  <c r="K13" i="43" s="1"/>
  <c r="I20" i="4"/>
  <c r="K20" i="43" s="1"/>
  <c r="I44" i="4"/>
  <c r="BB27" i="4"/>
  <c r="BB21" i="4"/>
  <c r="BB18" i="4"/>
  <c r="BB13" i="4"/>
  <c r="BB8" i="4"/>
  <c r="BB5" i="4"/>
  <c r="I9" i="4"/>
  <c r="AY207" i="5"/>
  <c r="BF22" i="4"/>
  <c r="BB28" i="4"/>
  <c r="BB26" i="4"/>
  <c r="I11" i="4"/>
  <c r="K11" i="43" s="1"/>
  <c r="BC28" i="4"/>
  <c r="BC26" i="4"/>
  <c r="BC22" i="4"/>
  <c r="BC20" i="4"/>
  <c r="BC19" i="4"/>
  <c r="BC17" i="4"/>
  <c r="BC14" i="4"/>
  <c r="BC12" i="4"/>
  <c r="BC10" i="4"/>
  <c r="BC9" i="4"/>
  <c r="BC6" i="4"/>
  <c r="BC3" i="4"/>
  <c r="BD27" i="4"/>
  <c r="I12" i="4"/>
  <c r="K12" i="43" s="1"/>
  <c r="I21" i="4"/>
  <c r="K21" i="43" s="1"/>
  <c r="I23" i="4"/>
  <c r="K23" i="43" s="1"/>
  <c r="BE5" i="4"/>
  <c r="BB22" i="4"/>
  <c r="BB20" i="4"/>
  <c r="BB19" i="4"/>
  <c r="BB17" i="4"/>
  <c r="BB14" i="4"/>
  <c r="BB12" i="4"/>
  <c r="BB10" i="4"/>
  <c r="BB9" i="4"/>
  <c r="BB6" i="4"/>
  <c r="BB3" i="4"/>
  <c r="BC29" i="4"/>
  <c r="BC23" i="4"/>
  <c r="BC16" i="4"/>
  <c r="BC15" i="4"/>
  <c r="BC11" i="4"/>
  <c r="BC7" i="4"/>
  <c r="BC4" i="4"/>
  <c r="BD28" i="4"/>
  <c r="I3" i="4"/>
  <c r="I15" i="4"/>
  <c r="K15" i="43" s="1"/>
  <c r="I17" i="4"/>
  <c r="K17" i="43" s="1"/>
  <c r="I29" i="4"/>
  <c r="K29" i="43" s="1"/>
  <c r="BB44" i="4"/>
  <c r="AY208" i="5"/>
  <c r="AY205" i="5"/>
  <c r="AV208" i="5"/>
  <c r="W207" i="5"/>
  <c r="S206" i="5"/>
  <c r="BF6" i="4"/>
  <c r="AK22" i="11"/>
  <c r="AL22" i="11" s="1"/>
  <c r="AM22" i="11" s="1"/>
  <c r="AN22" i="11" s="1"/>
  <c r="AO22" i="11" s="1"/>
  <c r="AP22" i="11" s="1"/>
  <c r="AG20" i="11"/>
  <c r="AH20" i="11" s="1"/>
  <c r="AW206" i="5"/>
  <c r="AW205" i="5"/>
  <c r="AV205" i="5"/>
  <c r="C11" i="2"/>
  <c r="P12" i="11" s="1"/>
  <c r="K10" i="11"/>
  <c r="L10" i="11" s="1"/>
  <c r="BE27" i="4"/>
  <c r="BE21" i="4"/>
  <c r="X12" i="54"/>
  <c r="Y12" i="54" s="1"/>
  <c r="Z12" i="54" s="1"/>
  <c r="AA12" i="54" s="1"/>
  <c r="AB12" i="54" s="1"/>
  <c r="AC12" i="54" s="1"/>
  <c r="AD12" i="54" s="1"/>
  <c r="AE12" i="54" s="1"/>
  <c r="J10" i="54"/>
  <c r="K10" i="54" s="1"/>
  <c r="L10" i="54" s="1"/>
  <c r="M10" i="54" s="1"/>
  <c r="N10" i="54" s="1"/>
  <c r="O10" i="54" s="1"/>
  <c r="X8" i="54"/>
  <c r="Y8" i="54" s="1"/>
  <c r="X13" i="54"/>
  <c r="Y13" i="54" s="1"/>
  <c r="Z13" i="54" s="1"/>
  <c r="AA13" i="54" s="1"/>
  <c r="AB13" i="54" s="1"/>
  <c r="AC13" i="54" s="1"/>
  <c r="AD13" i="54" s="1"/>
  <c r="K4" i="54"/>
  <c r="X7" i="54"/>
  <c r="Y7" i="54" s="1"/>
  <c r="Z7" i="54" s="1"/>
  <c r="J26" i="54"/>
  <c r="K26" i="54" s="1"/>
  <c r="L26" i="54" s="1"/>
  <c r="M26" i="54" s="1"/>
  <c r="N26" i="54" s="1"/>
  <c r="X21" i="54"/>
  <c r="Y21" i="54" s="1"/>
  <c r="J12" i="54"/>
  <c r="K12" i="54" s="1"/>
  <c r="L12" i="54" s="1"/>
  <c r="M12" i="54" s="1"/>
  <c r="N12" i="54" s="1"/>
  <c r="O12" i="54" s="1"/>
  <c r="P12" i="54" s="1"/>
  <c r="X11" i="54"/>
  <c r="Y11" i="54" s="1"/>
  <c r="Z11" i="54" s="1"/>
  <c r="AA11" i="54" s="1"/>
  <c r="AB11" i="54" s="1"/>
  <c r="J29" i="54"/>
  <c r="K29" i="54" s="1"/>
  <c r="L29" i="54" s="1"/>
  <c r="M29" i="54" s="1"/>
  <c r="N29" i="54" s="1"/>
  <c r="O29" i="54" s="1"/>
  <c r="K28" i="54"/>
  <c r="L28" i="54" s="1"/>
  <c r="M28" i="54" s="1"/>
  <c r="N28" i="54" s="1"/>
  <c r="O28" i="54" s="1"/>
  <c r="P28" i="54" s="1"/>
  <c r="Q28" i="54" s="1"/>
  <c r="X24" i="54"/>
  <c r="Y24" i="54" s="1"/>
  <c r="Z24" i="54" s="1"/>
  <c r="AA24" i="54" s="1"/>
  <c r="AG24" i="4"/>
  <c r="AF24" i="4"/>
  <c r="L25" i="43" s="1"/>
  <c r="BE18" i="4"/>
  <c r="BE7" i="4"/>
  <c r="BF7" i="4"/>
  <c r="BC27" i="4"/>
  <c r="BD29" i="4"/>
  <c r="BF29" i="4"/>
  <c r="B4" i="11"/>
  <c r="C4" i="11" s="1"/>
  <c r="AK205" i="5"/>
  <c r="AG208" i="5"/>
  <c r="U206" i="5"/>
  <c r="B208" i="5"/>
  <c r="B5" i="11"/>
  <c r="C5" i="53" s="1"/>
  <c r="AO206" i="5"/>
  <c r="AM207" i="5"/>
  <c r="Y207" i="5"/>
  <c r="R207" i="5"/>
  <c r="Q206" i="5"/>
  <c r="G208" i="5"/>
  <c r="B6" i="11"/>
  <c r="C6" i="11" s="1"/>
  <c r="E207" i="5"/>
  <c r="E208" i="5"/>
  <c r="G9" i="11"/>
  <c r="H9" i="11" s="1"/>
  <c r="AM23" i="11"/>
  <c r="AN23" i="11" s="1"/>
  <c r="S207" i="5"/>
  <c r="C208" i="5"/>
  <c r="AK208" i="5"/>
  <c r="Z207" i="5"/>
  <c r="J207" i="5"/>
  <c r="I207" i="5"/>
  <c r="F207" i="5"/>
  <c r="BF26" i="4"/>
  <c r="BF16" i="4"/>
  <c r="BF15" i="4"/>
  <c r="BB23" i="4"/>
  <c r="BC8" i="4"/>
  <c r="BD7" i="4"/>
  <c r="BE28" i="4"/>
  <c r="Q207" i="5"/>
  <c r="L208" i="5"/>
  <c r="H208" i="5"/>
  <c r="BE14" i="4"/>
  <c r="BE10" i="4"/>
  <c r="D4" i="7"/>
  <c r="D3" i="7"/>
  <c r="E7" i="7"/>
  <c r="AQ207" i="5"/>
  <c r="AA207" i="5"/>
  <c r="M208" i="5"/>
  <c r="I205" i="5"/>
  <c r="BF23" i="4"/>
  <c r="BF14" i="4"/>
  <c r="BF10" i="4"/>
  <c r="BB7" i="4"/>
  <c r="BD17" i="4"/>
  <c r="D7" i="2"/>
  <c r="E7" i="2" s="1"/>
  <c r="F7" i="7"/>
  <c r="E8" i="11"/>
  <c r="I3" i="53"/>
  <c r="I3" i="54" s="1"/>
  <c r="U15" i="11"/>
  <c r="AC11" i="53"/>
  <c r="D12" i="2"/>
  <c r="W17" i="11"/>
  <c r="AE13" i="53"/>
  <c r="E12" i="7"/>
  <c r="M11" i="11"/>
  <c r="Q12" i="53"/>
  <c r="E10" i="7"/>
  <c r="Q13" i="11"/>
  <c r="Z8" i="53" s="1"/>
  <c r="C112" i="1"/>
  <c r="C102" i="1"/>
  <c r="C47" i="1"/>
  <c r="C17" i="1"/>
  <c r="BB29" i="4"/>
  <c r="BB11" i="4"/>
  <c r="BC13" i="4"/>
  <c r="BD20" i="4"/>
  <c r="BD3" i="4"/>
  <c r="BE19" i="4"/>
  <c r="K29" i="4"/>
  <c r="C107" i="1"/>
  <c r="C97" i="1"/>
  <c r="C62" i="1"/>
  <c r="C77" i="1"/>
  <c r="C12" i="1"/>
  <c r="K16" i="4"/>
  <c r="AO208" i="5"/>
  <c r="AO207" i="5"/>
  <c r="AM208" i="5"/>
  <c r="AK206" i="5"/>
  <c r="AG205" i="5"/>
  <c r="G205" i="5"/>
  <c r="BF19" i="4"/>
  <c r="BF11" i="4"/>
  <c r="BE44" i="4"/>
  <c r="B2" i="11"/>
  <c r="E206" i="5"/>
  <c r="C206" i="5"/>
  <c r="D208" i="5"/>
  <c r="C67" i="1"/>
  <c r="C57" i="1"/>
  <c r="C42" i="1"/>
  <c r="F10" i="4" s="1"/>
  <c r="C32" i="1"/>
  <c r="C82" i="1"/>
  <c r="AB206" i="5"/>
  <c r="P207" i="5"/>
  <c r="O207" i="5"/>
  <c r="L207" i="5"/>
  <c r="C132" i="1"/>
  <c r="AI21" i="11"/>
  <c r="W22" i="53"/>
  <c r="W22" i="54" s="1"/>
  <c r="BB16" i="4"/>
  <c r="BC21" i="4"/>
  <c r="BC5" i="4"/>
  <c r="BD16" i="4"/>
  <c r="BD12" i="4"/>
  <c r="C72" i="1"/>
  <c r="C52" i="1"/>
  <c r="C27" i="1"/>
  <c r="C37" i="1"/>
  <c r="AS206" i="5"/>
  <c r="AR208" i="5"/>
  <c r="AC208" i="5"/>
  <c r="Z208" i="5"/>
  <c r="V206" i="5"/>
  <c r="K207" i="5"/>
  <c r="D205" i="5"/>
  <c r="BB15" i="4"/>
  <c r="BC18" i="4"/>
  <c r="BD9" i="4"/>
  <c r="BE22" i="4"/>
  <c r="BE6" i="4"/>
  <c r="W16" i="11"/>
  <c r="C9" i="2"/>
  <c r="C9" i="7"/>
  <c r="C6" i="2"/>
  <c r="D6" i="7"/>
  <c r="C8" i="2"/>
  <c r="E8" i="7"/>
  <c r="O12" i="11"/>
  <c r="X4" i="53" s="1"/>
  <c r="X4" i="54" s="1"/>
  <c r="D12" i="7"/>
  <c r="R14" i="11"/>
  <c r="AA7" i="53" s="1"/>
  <c r="D13" i="7"/>
  <c r="C92" i="1"/>
  <c r="K20" i="4"/>
  <c r="I28" i="4"/>
  <c r="K28" i="43" s="1"/>
  <c r="C127" i="1"/>
  <c r="K27" i="4"/>
  <c r="AU207" i="5"/>
  <c r="K18" i="4"/>
  <c r="K17" i="4"/>
  <c r="AM204" i="5"/>
  <c r="C117" i="1"/>
  <c r="C122" i="1"/>
  <c r="K19" i="4"/>
  <c r="BK44" i="4"/>
  <c r="BJ44" i="4" s="1"/>
  <c r="AU205" i="5"/>
  <c r="AT206" i="5"/>
  <c r="X207" i="5"/>
  <c r="W206" i="5"/>
  <c r="BF4" i="4"/>
  <c r="K28" i="4"/>
  <c r="BK9" i="4"/>
  <c r="BJ9" i="4" s="1"/>
  <c r="AX207" i="5"/>
  <c r="AW208" i="5"/>
  <c r="AW207" i="5"/>
  <c r="S208" i="5"/>
  <c r="BK4" i="4"/>
  <c r="BJ4" i="4" s="1"/>
  <c r="AX208" i="5"/>
  <c r="AV207" i="5"/>
  <c r="AV206" i="5"/>
  <c r="V208" i="5"/>
  <c r="T208" i="5"/>
  <c r="R208" i="5"/>
  <c r="K22" i="4"/>
  <c r="AS208" i="5"/>
  <c r="AS207" i="5"/>
  <c r="AP208" i="5"/>
  <c r="AP206" i="5"/>
  <c r="AN208" i="5"/>
  <c r="AM206" i="5"/>
  <c r="BK10" i="4"/>
  <c r="BJ10" i="4" s="1"/>
  <c r="AT208" i="5"/>
  <c r="AT207" i="5"/>
  <c r="AR207" i="5"/>
  <c r="AN207" i="5"/>
  <c r="AU208" i="5"/>
  <c r="AR205" i="5"/>
  <c r="AP207" i="5"/>
  <c r="BE4" i="4"/>
  <c r="AO205" i="5"/>
  <c r="BB4" i="4"/>
  <c r="BD4" i="4"/>
  <c r="K53" i="4" l="1"/>
  <c r="BV47" i="4"/>
  <c r="BT47" i="4" s="1"/>
  <c r="BU47" i="4" s="1"/>
  <c r="D3" i="2"/>
  <c r="F3" i="7" s="1"/>
  <c r="E4" i="7"/>
  <c r="I5" i="53"/>
  <c r="I5" i="54" s="1"/>
  <c r="E2" i="7"/>
  <c r="F7" i="4"/>
  <c r="D7" i="43" s="1"/>
  <c r="F12" i="4"/>
  <c r="D12" i="43" s="1"/>
  <c r="F11" i="4"/>
  <c r="D11" i="43" s="1"/>
  <c r="F17" i="4"/>
  <c r="D17" i="43" s="1"/>
  <c r="F19" i="4"/>
  <c r="D19" i="43" s="1"/>
  <c r="F15" i="4"/>
  <c r="D15" i="43" s="1"/>
  <c r="F29" i="4"/>
  <c r="BH29" i="4" s="1"/>
  <c r="L4" i="4"/>
  <c r="F27" i="4"/>
  <c r="D27" i="43" s="1"/>
  <c r="F23" i="4"/>
  <c r="BH23" i="4" s="1"/>
  <c r="F22" i="4"/>
  <c r="M22" i="4" s="1"/>
  <c r="H22" i="43" s="1"/>
  <c r="D38" i="43"/>
  <c r="F44" i="4"/>
  <c r="O44" i="4" s="1"/>
  <c r="F5" i="4"/>
  <c r="M5" i="4" s="1"/>
  <c r="H5" i="43" s="1"/>
  <c r="F28" i="4"/>
  <c r="D28" i="43" s="1"/>
  <c r="F6" i="4"/>
  <c r="M6" i="4" s="1"/>
  <c r="H6" i="43" s="1"/>
  <c r="F8" i="4"/>
  <c r="L8" i="4" s="1"/>
  <c r="F13" i="4"/>
  <c r="M13" i="4" s="1"/>
  <c r="H13" i="43" s="1"/>
  <c r="F14" i="4"/>
  <c r="O14" i="4" s="1"/>
  <c r="J14" i="43" s="1"/>
  <c r="F18" i="4"/>
  <c r="N18" i="4" s="1"/>
  <c r="I18" i="43" s="1"/>
  <c r="D26" i="43"/>
  <c r="F26" i="4"/>
  <c r="D24" i="43" s="1"/>
  <c r="F21" i="4"/>
  <c r="N21" i="4" s="1"/>
  <c r="I21" i="43" s="1"/>
  <c r="F20" i="4"/>
  <c r="BH20" i="4" s="1"/>
  <c r="F9" i="4"/>
  <c r="BH9" i="4" s="1"/>
  <c r="K8" i="43"/>
  <c r="K3" i="43"/>
  <c r="K26" i="43"/>
  <c r="K24" i="43"/>
  <c r="K4" i="43"/>
  <c r="K38" i="43"/>
  <c r="K35" i="43"/>
  <c r="K9" i="43"/>
  <c r="O25" i="43"/>
  <c r="M25" i="43"/>
  <c r="P29" i="53"/>
  <c r="P29" i="54" s="1"/>
  <c r="M10" i="4"/>
  <c r="H10" i="43" s="1"/>
  <c r="D10" i="43"/>
  <c r="M16" i="4"/>
  <c r="H16" i="43" s="1"/>
  <c r="D16" i="43"/>
  <c r="D4" i="43"/>
  <c r="F2" i="7"/>
  <c r="E13" i="7"/>
  <c r="E2" i="2"/>
  <c r="F2" i="2" s="1"/>
  <c r="G2" i="2" s="1"/>
  <c r="AE18" i="11"/>
  <c r="AF18" i="11" s="1"/>
  <c r="E3" i="2"/>
  <c r="F3" i="2" s="1"/>
  <c r="H3" i="7" s="1"/>
  <c r="AH17" i="4"/>
  <c r="N17" i="43" s="1"/>
  <c r="D13" i="2"/>
  <c r="E13" i="2" s="1"/>
  <c r="F10" i="7"/>
  <c r="C5" i="11"/>
  <c r="D5" i="11" s="1"/>
  <c r="AH19" i="4"/>
  <c r="N19" i="43" s="1"/>
  <c r="C7" i="53"/>
  <c r="D7" i="53" s="1"/>
  <c r="BH16" i="4"/>
  <c r="E4" i="2"/>
  <c r="F4" i="2" s="1"/>
  <c r="P10" i="53"/>
  <c r="P10" i="54" s="1"/>
  <c r="AF6" i="4"/>
  <c r="L6" i="43" s="1"/>
  <c r="M4" i="4"/>
  <c r="N10" i="4"/>
  <c r="I10" i="43" s="1"/>
  <c r="N16" i="4"/>
  <c r="I16" i="43" s="1"/>
  <c r="D3" i="43"/>
  <c r="AF14" i="4"/>
  <c r="L14" i="43" s="1"/>
  <c r="BH10" i="4"/>
  <c r="AF7" i="4"/>
  <c r="L7" i="43" s="1"/>
  <c r="AG13" i="4"/>
  <c r="M13" i="43" s="1"/>
  <c r="O10" i="4"/>
  <c r="J10" i="43" s="1"/>
  <c r="AF9" i="4"/>
  <c r="BP23" i="4"/>
  <c r="AG20" i="4"/>
  <c r="M20" i="43" s="1"/>
  <c r="AG16" i="4"/>
  <c r="M16" i="43" s="1"/>
  <c r="AH8" i="4"/>
  <c r="Z21" i="53"/>
  <c r="Z21" i="54" s="1"/>
  <c r="AF11" i="4"/>
  <c r="L11" i="43" s="1"/>
  <c r="AH14" i="4"/>
  <c r="N14" i="43" s="1"/>
  <c r="AG11" i="4"/>
  <c r="M11" i="43" s="1"/>
  <c r="C5" i="2"/>
  <c r="F5" i="7" s="1"/>
  <c r="AI11" i="4"/>
  <c r="O11" i="43" s="1"/>
  <c r="AF21" i="4"/>
  <c r="L21" i="43" s="1"/>
  <c r="AF17" i="4"/>
  <c r="L17" i="43" s="1"/>
  <c r="AG8" i="4"/>
  <c r="AH18" i="4"/>
  <c r="N18" i="43" s="1"/>
  <c r="BF53" i="4"/>
  <c r="BF54" i="4" s="1"/>
  <c r="AG17" i="4"/>
  <c r="M17" i="43" s="1"/>
  <c r="BP11" i="4"/>
  <c r="AH10" i="4"/>
  <c r="N10" i="43" s="1"/>
  <c r="BP29" i="4"/>
  <c r="G7" i="7"/>
  <c r="AF19" i="4"/>
  <c r="L19" i="43" s="1"/>
  <c r="AI10" i="4"/>
  <c r="O10" i="43" s="1"/>
  <c r="AA21" i="53"/>
  <c r="AG21" i="4"/>
  <c r="M21" i="43" s="1"/>
  <c r="AI7" i="4"/>
  <c r="O7" i="43" s="1"/>
  <c r="AF10" i="4"/>
  <c r="L10" i="43" s="1"/>
  <c r="AH13" i="4"/>
  <c r="N13" i="43" s="1"/>
  <c r="BP15" i="4"/>
  <c r="BD53" i="4"/>
  <c r="BD54" i="4" s="1"/>
  <c r="AT53" i="4" s="1"/>
  <c r="BG206" i="5" s="1"/>
  <c r="AB24" i="53"/>
  <c r="AB24" i="54" s="1"/>
  <c r="C6" i="53"/>
  <c r="C6" i="54" s="1"/>
  <c r="R28" i="53"/>
  <c r="S28" i="53" s="1"/>
  <c r="S28" i="54" s="1"/>
  <c r="C3" i="11"/>
  <c r="D4" i="53" s="1"/>
  <c r="L16" i="4"/>
  <c r="BH4" i="4"/>
  <c r="N4" i="4"/>
  <c r="AF5" i="4"/>
  <c r="L5" i="43" s="1"/>
  <c r="BP4" i="4"/>
  <c r="BB53" i="4"/>
  <c r="BB54" i="4" s="1"/>
  <c r="BP16" i="4"/>
  <c r="BP9" i="4"/>
  <c r="BP17" i="4"/>
  <c r="BP28" i="4"/>
  <c r="BP18" i="4"/>
  <c r="O16" i="4"/>
  <c r="J16" i="43" s="1"/>
  <c r="O3" i="4"/>
  <c r="BP44" i="4"/>
  <c r="BP10" i="4"/>
  <c r="BP19" i="4"/>
  <c r="BP5" i="4"/>
  <c r="BP21" i="4"/>
  <c r="BP3" i="4"/>
  <c r="BP12" i="4"/>
  <c r="BP20" i="4"/>
  <c r="BP8" i="4"/>
  <c r="BP27" i="4"/>
  <c r="BP7" i="4"/>
  <c r="BP6" i="4"/>
  <c r="BP14" i="4"/>
  <c r="BP22" i="4"/>
  <c r="BP26" i="4"/>
  <c r="BP13" i="4"/>
  <c r="BC53" i="4"/>
  <c r="BC54" i="4" s="1"/>
  <c r="BE53" i="4"/>
  <c r="BE54" i="4" s="1"/>
  <c r="AI3" i="4"/>
  <c r="AH12" i="4"/>
  <c r="N12" i="43" s="1"/>
  <c r="BH3" i="4"/>
  <c r="AB21" i="53"/>
  <c r="N3" i="4"/>
  <c r="AC21" i="53"/>
  <c r="AD21" i="53"/>
  <c r="E11" i="7"/>
  <c r="M3" i="4"/>
  <c r="D11" i="2"/>
  <c r="L4" i="53"/>
  <c r="L4" i="54" s="1"/>
  <c r="L10" i="4"/>
  <c r="L3" i="4"/>
  <c r="AO23" i="11"/>
  <c r="AC24" i="53"/>
  <c r="AA8" i="53"/>
  <c r="AC11" i="54"/>
  <c r="AA7" i="54"/>
  <c r="Q12" i="54"/>
  <c r="Z8" i="54"/>
  <c r="AE13" i="54"/>
  <c r="AB7" i="53"/>
  <c r="X16" i="11"/>
  <c r="AF12" i="53"/>
  <c r="O4" i="4"/>
  <c r="AJ21" i="11"/>
  <c r="X22" i="53"/>
  <c r="X22" i="54" s="1"/>
  <c r="D4" i="11"/>
  <c r="N11" i="11"/>
  <c r="R12" i="53"/>
  <c r="M10" i="11"/>
  <c r="Q10" i="53"/>
  <c r="V15" i="11"/>
  <c r="AD11" i="53"/>
  <c r="C2" i="11"/>
  <c r="C3" i="53"/>
  <c r="X17" i="11"/>
  <c r="AF13" i="53"/>
  <c r="E12" i="2"/>
  <c r="F12" i="7"/>
  <c r="S13" i="11"/>
  <c r="AB8" i="53" s="1"/>
  <c r="F8" i="11"/>
  <c r="J3" i="53"/>
  <c r="AG19" i="11"/>
  <c r="Q29" i="53"/>
  <c r="F7" i="11"/>
  <c r="J5" i="53"/>
  <c r="I9" i="11"/>
  <c r="M4" i="53"/>
  <c r="D6" i="11"/>
  <c r="C5" i="54"/>
  <c r="O26" i="54"/>
  <c r="AI20" i="11"/>
  <c r="W19" i="53"/>
  <c r="AQ22" i="11"/>
  <c r="AE21" i="53"/>
  <c r="Y4" i="53"/>
  <c r="Y4" i="54" s="1"/>
  <c r="D6" i="2"/>
  <c r="E6" i="7"/>
  <c r="AF22" i="4"/>
  <c r="L22" i="43" s="1"/>
  <c r="AH6" i="4"/>
  <c r="N6" i="43" s="1"/>
  <c r="AG9" i="4"/>
  <c r="H7" i="7"/>
  <c r="F7" i="2"/>
  <c r="AF15" i="4"/>
  <c r="L15" i="43" s="1"/>
  <c r="AG27" i="4"/>
  <c r="M27" i="43" s="1"/>
  <c r="D8" i="2"/>
  <c r="F8" i="7"/>
  <c r="D9" i="2"/>
  <c r="D9" i="7"/>
  <c r="G10" i="7"/>
  <c r="E10" i="2"/>
  <c r="A50" i="4" l="1"/>
  <c r="BG50" i="4"/>
  <c r="BI50" i="4" s="1"/>
  <c r="BG47" i="4"/>
  <c r="BI47" i="4" s="1"/>
  <c r="A47" i="4"/>
  <c r="A41" i="4"/>
  <c r="BG41" i="4"/>
  <c r="BI41" i="4" s="1"/>
  <c r="BG39" i="4"/>
  <c r="BI39" i="4" s="1"/>
  <c r="A39" i="4"/>
  <c r="A48" i="4"/>
  <c r="BG48" i="4"/>
  <c r="BI48" i="4" s="1"/>
  <c r="F13" i="7"/>
  <c r="A36" i="4"/>
  <c r="AS53" i="4"/>
  <c r="BG207" i="5" s="1"/>
  <c r="BG214" i="5" s="1"/>
  <c r="BG36" i="4"/>
  <c r="BI36" i="4" s="1"/>
  <c r="A32" i="4"/>
  <c r="AV53" i="4"/>
  <c r="BG204" i="5" s="1"/>
  <c r="BG32" i="4"/>
  <c r="BI32" i="4" s="1"/>
  <c r="BG45" i="4"/>
  <c r="BI45" i="4" s="1"/>
  <c r="A45" i="4"/>
  <c r="BG49" i="4"/>
  <c r="BI49" i="4" s="1"/>
  <c r="H4" i="43"/>
  <c r="A49" i="4"/>
  <c r="BG40" i="4"/>
  <c r="BI40" i="4" s="1"/>
  <c r="A40" i="4"/>
  <c r="BH7" i="4"/>
  <c r="BQ7" i="4" s="1"/>
  <c r="O7" i="4"/>
  <c r="J7" i="43" s="1"/>
  <c r="L27" i="4"/>
  <c r="BH27" i="4"/>
  <c r="BQ27" i="4" s="1"/>
  <c r="L7" i="4"/>
  <c r="N27" i="4"/>
  <c r="I27" i="43" s="1"/>
  <c r="M7" i="4"/>
  <c r="H7" i="43" s="1"/>
  <c r="M12" i="4"/>
  <c r="H12" i="43" s="1"/>
  <c r="N7" i="4"/>
  <c r="I7" i="43" s="1"/>
  <c r="M11" i="4"/>
  <c r="H11" i="43" s="1"/>
  <c r="N12" i="4"/>
  <c r="I12" i="43" s="1"/>
  <c r="M27" i="4"/>
  <c r="H27" i="43" s="1"/>
  <c r="N11" i="4"/>
  <c r="I11" i="43" s="1"/>
  <c r="L11" i="4"/>
  <c r="BH11" i="4"/>
  <c r="BQ11" i="4" s="1"/>
  <c r="L12" i="4"/>
  <c r="D9" i="43"/>
  <c r="O27" i="4"/>
  <c r="J27" i="43" s="1"/>
  <c r="M8" i="4"/>
  <c r="H9" i="43" s="1"/>
  <c r="O8" i="4"/>
  <c r="J9" i="43" s="1"/>
  <c r="O11" i="4"/>
  <c r="J11" i="43" s="1"/>
  <c r="BH13" i="4"/>
  <c r="BQ13" i="4" s="1"/>
  <c r="L9" i="4"/>
  <c r="O23" i="4"/>
  <c r="J23" i="43" s="1"/>
  <c r="BH22" i="4"/>
  <c r="BQ22" i="4" s="1"/>
  <c r="BH12" i="4"/>
  <c r="BQ12" i="4" s="1"/>
  <c r="BH8" i="4"/>
  <c r="BQ8" i="4" s="1"/>
  <c r="L23" i="4"/>
  <c r="O13" i="4"/>
  <c r="J13" i="43" s="1"/>
  <c r="M23" i="4"/>
  <c r="H23" i="43" s="1"/>
  <c r="N23" i="4"/>
  <c r="I23" i="43" s="1"/>
  <c r="N13" i="4"/>
  <c r="I13" i="43" s="1"/>
  <c r="O12" i="4"/>
  <c r="J12" i="43" s="1"/>
  <c r="L13" i="4"/>
  <c r="BH14" i="4"/>
  <c r="BQ14" i="4" s="1"/>
  <c r="N8" i="4"/>
  <c r="I9" i="43" s="1"/>
  <c r="M14" i="4"/>
  <c r="H14" i="43" s="1"/>
  <c r="BH18" i="4"/>
  <c r="BQ18" i="4" s="1"/>
  <c r="BH44" i="4"/>
  <c r="BQ44" i="4" s="1"/>
  <c r="N22" i="4"/>
  <c r="I22" i="43" s="1"/>
  <c r="N14" i="4"/>
  <c r="I14" i="43" s="1"/>
  <c r="M18" i="4"/>
  <c r="H18" i="43" s="1"/>
  <c r="L18" i="4"/>
  <c r="N15" i="4"/>
  <c r="I15" i="43" s="1"/>
  <c r="L17" i="4"/>
  <c r="M44" i="4"/>
  <c r="O15" i="4"/>
  <c r="J15" i="43" s="1"/>
  <c r="O19" i="4"/>
  <c r="J19" i="43" s="1"/>
  <c r="N28" i="4"/>
  <c r="I28" i="43" s="1"/>
  <c r="N17" i="4"/>
  <c r="I17" i="43" s="1"/>
  <c r="M29" i="4"/>
  <c r="H29" i="43" s="1"/>
  <c r="O18" i="4"/>
  <c r="J18" i="43" s="1"/>
  <c r="M17" i="4"/>
  <c r="H17" i="43" s="1"/>
  <c r="O21" i="4"/>
  <c r="J21" i="43" s="1"/>
  <c r="L19" i="4"/>
  <c r="L28" i="4"/>
  <c r="BH17" i="4"/>
  <c r="BQ17" i="4" s="1"/>
  <c r="N44" i="4"/>
  <c r="L44" i="4"/>
  <c r="M19" i="4"/>
  <c r="H19" i="43" s="1"/>
  <c r="O17" i="4"/>
  <c r="J17" i="43" s="1"/>
  <c r="N19" i="4"/>
  <c r="I19" i="43" s="1"/>
  <c r="M28" i="4"/>
  <c r="H28" i="43" s="1"/>
  <c r="BH19" i="4"/>
  <c r="BQ19" i="4" s="1"/>
  <c r="O6" i="4"/>
  <c r="J6" i="43" s="1"/>
  <c r="M9" i="4"/>
  <c r="H8" i="43" s="1"/>
  <c r="A43" i="4"/>
  <c r="O28" i="4"/>
  <c r="J28" i="43" s="1"/>
  <c r="N29" i="4"/>
  <c r="I29" i="43" s="1"/>
  <c r="M20" i="4"/>
  <c r="H20" i="43" s="1"/>
  <c r="L6" i="4"/>
  <c r="L20" i="4"/>
  <c r="M26" i="4"/>
  <c r="H24" i="43" s="1"/>
  <c r="O26" i="4"/>
  <c r="J24" i="43" s="1"/>
  <c r="BH28" i="4"/>
  <c r="BQ28" i="4" s="1"/>
  <c r="O29" i="4"/>
  <c r="J29" i="43" s="1"/>
  <c r="N5" i="4"/>
  <c r="I5" i="43" s="1"/>
  <c r="BH15" i="4"/>
  <c r="BQ15" i="4" s="1"/>
  <c r="L14" i="4"/>
  <c r="A10" i="4"/>
  <c r="A10" i="43" s="1"/>
  <c r="A12" i="4"/>
  <c r="A12" i="43" s="1"/>
  <c r="A18" i="4"/>
  <c r="A18" i="43" s="1"/>
  <c r="L26" i="4"/>
  <c r="L5" i="4"/>
  <c r="BH5" i="4"/>
  <c r="BQ5" i="4" s="1"/>
  <c r="A28" i="4"/>
  <c r="A28" i="43" s="1"/>
  <c r="A24" i="4"/>
  <c r="A25" i="43" s="1"/>
  <c r="N26" i="4"/>
  <c r="I24" i="43" s="1"/>
  <c r="N6" i="4"/>
  <c r="I6" i="43" s="1"/>
  <c r="BH6" i="4"/>
  <c r="BQ6" i="4" s="1"/>
  <c r="BH21" i="4"/>
  <c r="BQ21" i="4" s="1"/>
  <c r="M15" i="4"/>
  <c r="H15" i="43" s="1"/>
  <c r="A29" i="4"/>
  <c r="A29" i="43" s="1"/>
  <c r="A21" i="4"/>
  <c r="A21" i="43" s="1"/>
  <c r="A13" i="4"/>
  <c r="A13" i="43" s="1"/>
  <c r="A23" i="4"/>
  <c r="A23" i="43" s="1"/>
  <c r="O20" i="4"/>
  <c r="J20" i="43" s="1"/>
  <c r="BH26" i="4"/>
  <c r="BQ26" i="4" s="1"/>
  <c r="L15" i="4"/>
  <c r="L29" i="4"/>
  <c r="O5" i="4"/>
  <c r="J5" i="43" s="1"/>
  <c r="A11" i="4"/>
  <c r="A11" i="43" s="1"/>
  <c r="A17" i="4"/>
  <c r="A17" i="43" s="1"/>
  <c r="A27" i="4"/>
  <c r="A27" i="43" s="1"/>
  <c r="A14" i="4"/>
  <c r="A14" i="43" s="1"/>
  <c r="A6" i="4"/>
  <c r="A6" i="43" s="1"/>
  <c r="A26" i="4"/>
  <c r="A24" i="43" s="1"/>
  <c r="A38" i="4"/>
  <c r="D8" i="43"/>
  <c r="A4" i="4"/>
  <c r="A16" i="4"/>
  <c r="A16" i="43" s="1"/>
  <c r="A5" i="4"/>
  <c r="A5" i="43" s="1"/>
  <c r="A25" i="4"/>
  <c r="A26" i="43" s="1"/>
  <c r="D18" i="43"/>
  <c r="D6" i="43"/>
  <c r="D22" i="43"/>
  <c r="D29" i="43"/>
  <c r="A35" i="4"/>
  <c r="A34" i="4"/>
  <c r="L21" i="4"/>
  <c r="O9" i="4"/>
  <c r="J8" i="43" s="1"/>
  <c r="A22" i="4"/>
  <c r="A22" i="43" s="1"/>
  <c r="M21" i="4"/>
  <c r="H21" i="43" s="1"/>
  <c r="A7" i="4"/>
  <c r="A7" i="43" s="1"/>
  <c r="A33" i="4"/>
  <c r="A36" i="43" s="1"/>
  <c r="D20" i="43"/>
  <c r="D14" i="43"/>
  <c r="D23" i="43"/>
  <c r="A8" i="4"/>
  <c r="A9" i="43" s="1"/>
  <c r="A15" i="4"/>
  <c r="A15" i="43" s="1"/>
  <c r="A3" i="4"/>
  <c r="A3" i="43" s="1"/>
  <c r="A42" i="4"/>
  <c r="A51" i="4"/>
  <c r="A34" i="43" s="1"/>
  <c r="O22" i="4"/>
  <c r="J22" i="43" s="1"/>
  <c r="L22" i="4"/>
  <c r="N9" i="4"/>
  <c r="I8" i="43" s="1"/>
  <c r="A44" i="4"/>
  <c r="A9" i="4"/>
  <c r="A8" i="43" s="1"/>
  <c r="A20" i="4"/>
  <c r="A20" i="43" s="1"/>
  <c r="A31" i="4"/>
  <c r="D21" i="43"/>
  <c r="D13" i="43"/>
  <c r="D5" i="43"/>
  <c r="N20" i="4"/>
  <c r="I20" i="43" s="1"/>
  <c r="A19" i="4"/>
  <c r="A19" i="43" s="1"/>
  <c r="A46" i="4"/>
  <c r="A30" i="4"/>
  <c r="A32" i="43" s="1"/>
  <c r="A37" i="4"/>
  <c r="BG43" i="4"/>
  <c r="BI43" i="4" s="1"/>
  <c r="I4" i="43"/>
  <c r="J3" i="43"/>
  <c r="M9" i="43"/>
  <c r="J4" i="43"/>
  <c r="J26" i="43"/>
  <c r="I26" i="43"/>
  <c r="J38" i="43"/>
  <c r="J35" i="43"/>
  <c r="I3" i="43"/>
  <c r="I38" i="43"/>
  <c r="I35" i="43"/>
  <c r="M8" i="43"/>
  <c r="H3" i="43"/>
  <c r="H38" i="43"/>
  <c r="H35" i="43"/>
  <c r="H26" i="43"/>
  <c r="AI6" i="4"/>
  <c r="O6" i="43" s="1"/>
  <c r="Y51" i="4"/>
  <c r="AA51" i="4"/>
  <c r="BG51" i="4"/>
  <c r="BI51" i="4" s="1"/>
  <c r="Z51" i="4"/>
  <c r="X51" i="4"/>
  <c r="AG6" i="4"/>
  <c r="M6" i="43" s="1"/>
  <c r="AA34" i="4"/>
  <c r="AA37" i="4"/>
  <c r="Y34" i="4"/>
  <c r="Y37" i="4"/>
  <c r="X37" i="4"/>
  <c r="X34" i="4"/>
  <c r="Z37" i="4"/>
  <c r="Z34" i="4"/>
  <c r="BG37" i="4"/>
  <c r="BI37" i="4" s="1"/>
  <c r="BG34" i="4"/>
  <c r="BI34" i="4" s="1"/>
  <c r="BG213" i="5"/>
  <c r="I2" i="7"/>
  <c r="T14" i="11"/>
  <c r="AC7" i="53" s="1"/>
  <c r="AH15" i="4"/>
  <c r="N15" i="43" s="1"/>
  <c r="H2" i="7"/>
  <c r="P26" i="53"/>
  <c r="P26" i="54" s="1"/>
  <c r="G3" i="2"/>
  <c r="I3" i="7" s="1"/>
  <c r="G3" i="7"/>
  <c r="AI20" i="4"/>
  <c r="O20" i="43" s="1"/>
  <c r="AG15" i="4"/>
  <c r="M15" i="43" s="1"/>
  <c r="AI17" i="4"/>
  <c r="O17" i="43" s="1"/>
  <c r="C7" i="54"/>
  <c r="D7" i="54" s="1"/>
  <c r="AG19" i="4"/>
  <c r="M19" i="43" s="1"/>
  <c r="X31" i="4"/>
  <c r="X30" i="4"/>
  <c r="X38" i="4"/>
  <c r="Z38" i="4"/>
  <c r="Z31" i="4"/>
  <c r="Z30" i="4"/>
  <c r="BG30" i="4"/>
  <c r="BI30" i="4" s="1"/>
  <c r="BG31" i="4"/>
  <c r="BI31" i="4" s="1"/>
  <c r="BG38" i="4"/>
  <c r="BI38" i="4" s="1"/>
  <c r="AI15" i="4"/>
  <c r="O15" i="43" s="1"/>
  <c r="AA38" i="4"/>
  <c r="AA31" i="4"/>
  <c r="AA30" i="4"/>
  <c r="Y38" i="4"/>
  <c r="Y31" i="4"/>
  <c r="Y30" i="4"/>
  <c r="AG18" i="4"/>
  <c r="M18" i="43" s="1"/>
  <c r="AF18" i="4"/>
  <c r="L18" i="43" s="1"/>
  <c r="AI19" i="4"/>
  <c r="O19" i="43" s="1"/>
  <c r="G4" i="7"/>
  <c r="D5" i="2"/>
  <c r="E5" i="2" s="1"/>
  <c r="BQ20" i="4"/>
  <c r="D5" i="53"/>
  <c r="E5" i="53" s="1"/>
  <c r="AI13" i="4"/>
  <c r="O13" i="43" s="1"/>
  <c r="AH20" i="4"/>
  <c r="N20" i="43" s="1"/>
  <c r="AH22" i="4"/>
  <c r="N22" i="43" s="1"/>
  <c r="AI22" i="4"/>
  <c r="O22" i="43" s="1"/>
  <c r="Z46" i="4"/>
  <c r="AA46" i="4"/>
  <c r="AF8" i="4"/>
  <c r="L8" i="43" s="1"/>
  <c r="Y46" i="4"/>
  <c r="X46" i="4"/>
  <c r="BG46" i="4"/>
  <c r="AG14" i="4"/>
  <c r="M14" i="43" s="1"/>
  <c r="AI5" i="4"/>
  <c r="O5" i="43" s="1"/>
  <c r="AG7" i="4"/>
  <c r="M7" i="43" s="1"/>
  <c r="AI12" i="4"/>
  <c r="O12" i="43" s="1"/>
  <c r="AA15" i="4"/>
  <c r="BQ29" i="4"/>
  <c r="X44" i="4"/>
  <c r="X22" i="4"/>
  <c r="AF27" i="4"/>
  <c r="L27" i="43" s="1"/>
  <c r="AI8" i="4"/>
  <c r="AG22" i="4"/>
  <c r="M22" i="43" s="1"/>
  <c r="Z18" i="4"/>
  <c r="AH27" i="4"/>
  <c r="N27" i="43" s="1"/>
  <c r="Z44" i="4"/>
  <c r="Y15" i="4"/>
  <c r="Y44" i="4"/>
  <c r="D3" i="11"/>
  <c r="I7" i="53" s="1"/>
  <c r="BQ9" i="4"/>
  <c r="AF13" i="4"/>
  <c r="L13" i="43" s="1"/>
  <c r="Y26" i="4"/>
  <c r="AH5" i="4"/>
  <c r="N5" i="43" s="1"/>
  <c r="Z5" i="4"/>
  <c r="AA11" i="4"/>
  <c r="AA14" i="4"/>
  <c r="X10" i="4"/>
  <c r="Z19" i="4"/>
  <c r="Z15" i="4"/>
  <c r="X26" i="4"/>
  <c r="Y3" i="4"/>
  <c r="Y10" i="4"/>
  <c r="AA5" i="4"/>
  <c r="X16" i="4"/>
  <c r="AA22" i="4"/>
  <c r="Y19" i="4"/>
  <c r="Y6" i="4"/>
  <c r="X29" i="4"/>
  <c r="Z3" i="4"/>
  <c r="Y5" i="4"/>
  <c r="AF20" i="4"/>
  <c r="L20" i="43" s="1"/>
  <c r="X20" i="4"/>
  <c r="Z27" i="4"/>
  <c r="X8" i="4"/>
  <c r="Z20" i="4"/>
  <c r="X15" i="4"/>
  <c r="Y16" i="4"/>
  <c r="X17" i="4"/>
  <c r="AA26" i="4"/>
  <c r="Z42" i="4"/>
  <c r="Z33" i="4"/>
  <c r="Z35" i="4"/>
  <c r="Z24" i="4"/>
  <c r="Z25" i="4"/>
  <c r="Z29" i="4"/>
  <c r="Z26" i="4"/>
  <c r="Z23" i="4"/>
  <c r="Y12" i="4"/>
  <c r="Z10" i="4"/>
  <c r="AH11" i="4"/>
  <c r="N11" i="43" s="1"/>
  <c r="Z11" i="4"/>
  <c r="Z22" i="4"/>
  <c r="AA12" i="4"/>
  <c r="Z6" i="4"/>
  <c r="Z8" i="4"/>
  <c r="X42" i="4"/>
  <c r="X33" i="4"/>
  <c r="X35" i="4"/>
  <c r="X25" i="4"/>
  <c r="X24" i="4"/>
  <c r="X6" i="4"/>
  <c r="AA21" i="4"/>
  <c r="X12" i="4"/>
  <c r="AA16" i="4"/>
  <c r="AA27" i="4"/>
  <c r="AH7" i="4"/>
  <c r="N7" i="43" s="1"/>
  <c r="Z7" i="4"/>
  <c r="AA18" i="4"/>
  <c r="AA8" i="4"/>
  <c r="Y22" i="4"/>
  <c r="X11" i="4"/>
  <c r="X9" i="4"/>
  <c r="AA13" i="4"/>
  <c r="Y20" i="4"/>
  <c r="Y18" i="4"/>
  <c r="Z17" i="4"/>
  <c r="Y11" i="4"/>
  <c r="AA42" i="4"/>
  <c r="AA33" i="4"/>
  <c r="AA35" i="4"/>
  <c r="AA25" i="4"/>
  <c r="AA24" i="4"/>
  <c r="AA29" i="4"/>
  <c r="AA28" i="4"/>
  <c r="X23" i="4"/>
  <c r="Z21" i="4"/>
  <c r="AH16" i="4"/>
  <c r="N16" i="43" s="1"/>
  <c r="Z16" i="4"/>
  <c r="AA10" i="4"/>
  <c r="Y7" i="4"/>
  <c r="Y8" i="4"/>
  <c r="X21" i="4"/>
  <c r="X5" i="4"/>
  <c r="X14" i="4"/>
  <c r="X7" i="4"/>
  <c r="AA19" i="4"/>
  <c r="Z12" i="4"/>
  <c r="Y27" i="4"/>
  <c r="AA44" i="4"/>
  <c r="Y29" i="4"/>
  <c r="Y23" i="4"/>
  <c r="Z28" i="4"/>
  <c r="AA23" i="4"/>
  <c r="Z9" i="4"/>
  <c r="Z14" i="4"/>
  <c r="X13" i="4"/>
  <c r="X27" i="4"/>
  <c r="X19" i="4"/>
  <c r="AA17" i="4"/>
  <c r="Y21" i="4"/>
  <c r="X18" i="4"/>
  <c r="Y42" i="4"/>
  <c r="Y33" i="4"/>
  <c r="Y35" i="4"/>
  <c r="Y25" i="4"/>
  <c r="Y24" i="4"/>
  <c r="Y17" i="4"/>
  <c r="Y28" i="4"/>
  <c r="X28" i="4"/>
  <c r="AA9" i="4"/>
  <c r="X3" i="4"/>
  <c r="AR53" i="4"/>
  <c r="BG208" i="5" s="1"/>
  <c r="BG42" i="4"/>
  <c r="BI42" i="4" s="1"/>
  <c r="AA7" i="4"/>
  <c r="Y14" i="4"/>
  <c r="AA20" i="4"/>
  <c r="Y13" i="4"/>
  <c r="Y9" i="4"/>
  <c r="AA3" i="4"/>
  <c r="Z13" i="4"/>
  <c r="AA6" i="4"/>
  <c r="R28" i="54"/>
  <c r="AI14" i="4"/>
  <c r="O14" i="43" s="1"/>
  <c r="AI16" i="4"/>
  <c r="O16" i="43" s="1"/>
  <c r="AA21" i="54"/>
  <c r="AB21" i="54" s="1"/>
  <c r="AC21" i="54" s="1"/>
  <c r="AD21" i="54" s="1"/>
  <c r="AE21" i="54" s="1"/>
  <c r="AI18" i="4"/>
  <c r="O18" i="43" s="1"/>
  <c r="AF3" i="4"/>
  <c r="AI27" i="4"/>
  <c r="O27" i="43" s="1"/>
  <c r="AF16" i="4"/>
  <c r="L16" i="43" s="1"/>
  <c r="D6" i="53"/>
  <c r="E6" i="53" s="1"/>
  <c r="AH3" i="4"/>
  <c r="BG4" i="4"/>
  <c r="BI4" i="4" s="1"/>
  <c r="AG5" i="4"/>
  <c r="M5" i="43" s="1"/>
  <c r="AG3" i="4"/>
  <c r="BG33" i="4"/>
  <c r="BI33" i="4" s="1"/>
  <c r="BQ23" i="4"/>
  <c r="AF12" i="4"/>
  <c r="L12" i="43" s="1"/>
  <c r="AG12" i="4"/>
  <c r="M12" i="43" s="1"/>
  <c r="AG10" i="4"/>
  <c r="M10" i="43" s="1"/>
  <c r="AU53" i="4"/>
  <c r="BG205" i="5" s="1"/>
  <c r="BG35" i="4"/>
  <c r="BQ10" i="4"/>
  <c r="AF28" i="4"/>
  <c r="L28" i="43" s="1"/>
  <c r="Q12" i="11"/>
  <c r="Z4" i="53" s="1"/>
  <c r="Z4" i="54" s="1"/>
  <c r="E11" i="2"/>
  <c r="F11" i="7"/>
  <c r="BQ3" i="4"/>
  <c r="BQ16" i="4"/>
  <c r="BG24" i="4"/>
  <c r="BI24" i="4" s="1"/>
  <c r="BG25" i="4"/>
  <c r="BI25" i="4" s="1"/>
  <c r="AH9" i="4"/>
  <c r="N9" i="43" s="1"/>
  <c r="AI9" i="4"/>
  <c r="AI21" i="4"/>
  <c r="O21" i="43" s="1"/>
  <c r="AH21" i="4"/>
  <c r="N21" i="43" s="1"/>
  <c r="AC24" i="54"/>
  <c r="AB7" i="54"/>
  <c r="AA8" i="54"/>
  <c r="AB8" i="54" s="1"/>
  <c r="AP23" i="11"/>
  <c r="AD24" i="53"/>
  <c r="Q29" i="54"/>
  <c r="E7" i="53"/>
  <c r="E7" i="54" s="1"/>
  <c r="AJ20" i="11"/>
  <c r="X19" i="53"/>
  <c r="E6" i="11"/>
  <c r="I9" i="53"/>
  <c r="J3" i="54"/>
  <c r="AD11" i="54"/>
  <c r="AR22" i="11"/>
  <c r="AF21" i="53"/>
  <c r="AG21" i="53" s="1"/>
  <c r="E5" i="11"/>
  <c r="I8" i="53"/>
  <c r="M4" i="54"/>
  <c r="J5" i="54"/>
  <c r="G8" i="11"/>
  <c r="K3" i="53"/>
  <c r="AF13" i="54"/>
  <c r="AG13" i="53"/>
  <c r="C3" i="54"/>
  <c r="W15" i="11"/>
  <c r="AE11" i="53"/>
  <c r="E4" i="11"/>
  <c r="I6" i="53"/>
  <c r="AK21" i="11"/>
  <c r="Y22" i="53"/>
  <c r="Y22" i="54" s="1"/>
  <c r="AF12" i="54"/>
  <c r="AG12" i="53"/>
  <c r="J9" i="11"/>
  <c r="N4" i="53"/>
  <c r="G7" i="11"/>
  <c r="K5" i="53"/>
  <c r="AH19" i="11"/>
  <c r="R29" i="53"/>
  <c r="S29" i="53" s="1"/>
  <c r="G12" i="7"/>
  <c r="T13" i="11"/>
  <c r="AC8" i="53" s="1"/>
  <c r="F12" i="2"/>
  <c r="Y17" i="11"/>
  <c r="I18" i="53"/>
  <c r="D2" i="11"/>
  <c r="D3" i="53"/>
  <c r="Q10" i="54"/>
  <c r="R12" i="54"/>
  <c r="S12" i="53"/>
  <c r="S12" i="54" s="1"/>
  <c r="Y16" i="11"/>
  <c r="I20" i="53"/>
  <c r="AG18" i="11"/>
  <c r="Q26" i="53"/>
  <c r="W19" i="54"/>
  <c r="D4" i="54"/>
  <c r="E4" i="53"/>
  <c r="N10" i="11"/>
  <c r="R10" i="53"/>
  <c r="O11" i="11"/>
  <c r="W3" i="53"/>
  <c r="AG44" i="4"/>
  <c r="G8" i="7"/>
  <c r="E8" i="2"/>
  <c r="AG26" i="4"/>
  <c r="AH4" i="4"/>
  <c r="AF44" i="4"/>
  <c r="AH29" i="4"/>
  <c r="N29" i="43" s="1"/>
  <c r="AH28" i="4"/>
  <c r="N28" i="43" s="1"/>
  <c r="AF26" i="4"/>
  <c r="BG22" i="4"/>
  <c r="BG29" i="4"/>
  <c r="BG44" i="4"/>
  <c r="BG19" i="4"/>
  <c r="BG27" i="4"/>
  <c r="BG28" i="4"/>
  <c r="BG21" i="4"/>
  <c r="BG14" i="4"/>
  <c r="BG10" i="4"/>
  <c r="BG6" i="4"/>
  <c r="BG20" i="4"/>
  <c r="BG13" i="4"/>
  <c r="BG8" i="4"/>
  <c r="BG5" i="4"/>
  <c r="BG26" i="4"/>
  <c r="BG17" i="4"/>
  <c r="BG12" i="4"/>
  <c r="BG9" i="4"/>
  <c r="BG3" i="4"/>
  <c r="BG23" i="4"/>
  <c r="BG18" i="4"/>
  <c r="BG16" i="4"/>
  <c r="BG15" i="4"/>
  <c r="BG11" i="4"/>
  <c r="BG7" i="4"/>
  <c r="AG23" i="4"/>
  <c r="M23" i="43" s="1"/>
  <c r="H2" i="2"/>
  <c r="J2" i="7"/>
  <c r="BQ4" i="4"/>
  <c r="AI44" i="4"/>
  <c r="AG29" i="4"/>
  <c r="M29" i="43" s="1"/>
  <c r="AI26" i="4"/>
  <c r="AF23" i="4"/>
  <c r="L23" i="43" s="1"/>
  <c r="H4" i="7"/>
  <c r="G4" i="2"/>
  <c r="E6" i="2"/>
  <c r="F6" i="7"/>
  <c r="AF4" i="4"/>
  <c r="H10" i="7"/>
  <c r="F10" i="2"/>
  <c r="AI28" i="4"/>
  <c r="O28" i="43" s="1"/>
  <c r="AH23" i="4"/>
  <c r="N23" i="43" s="1"/>
  <c r="AG4" i="4"/>
  <c r="AI4" i="4"/>
  <c r="O3" i="43" s="1"/>
  <c r="AH44" i="4"/>
  <c r="E9" i="2"/>
  <c r="E9" i="7"/>
  <c r="F13" i="2"/>
  <c r="U14" i="11"/>
  <c r="G13" i="7"/>
  <c r="AI29" i="4"/>
  <c r="O29" i="43" s="1"/>
  <c r="AG28" i="4"/>
  <c r="M28" i="43" s="1"/>
  <c r="AH26" i="4"/>
  <c r="G7" i="2"/>
  <c r="I7" i="7"/>
  <c r="AI23" i="4"/>
  <c r="O23" i="43" s="1"/>
  <c r="A39" i="43" l="1"/>
  <c r="A30" i="43"/>
  <c r="BE209" i="5"/>
  <c r="BD209" i="5"/>
  <c r="AD7" i="53"/>
  <c r="A31" i="43"/>
  <c r="BQ53" i="4"/>
  <c r="BR50" i="4" s="1"/>
  <c r="BS50" i="4" s="1"/>
  <c r="N3" i="43"/>
  <c r="A37" i="43"/>
  <c r="A35" i="43"/>
  <c r="A33" i="43"/>
  <c r="A4" i="43"/>
  <c r="A38" i="43"/>
  <c r="O9" i="43"/>
  <c r="M3" i="43"/>
  <c r="L3" i="43"/>
  <c r="N4" i="43"/>
  <c r="L38" i="43"/>
  <c r="L35" i="43"/>
  <c r="O26" i="43"/>
  <c r="O24" i="43"/>
  <c r="M26" i="43"/>
  <c r="M24" i="43"/>
  <c r="O4" i="43"/>
  <c r="L4" i="43"/>
  <c r="N8" i="43"/>
  <c r="N38" i="43"/>
  <c r="N35" i="43"/>
  <c r="L26" i="43"/>
  <c r="L24" i="43"/>
  <c r="M4" i="43"/>
  <c r="N26" i="43"/>
  <c r="N24" i="43"/>
  <c r="O38" i="43"/>
  <c r="O35" i="43"/>
  <c r="M38" i="43"/>
  <c r="M35" i="43"/>
  <c r="O8" i="43"/>
  <c r="L9" i="43"/>
  <c r="E6" i="43"/>
  <c r="BI6" i="4"/>
  <c r="E22" i="43"/>
  <c r="BI22" i="4"/>
  <c r="E9" i="43"/>
  <c r="BI9" i="4"/>
  <c r="E39" i="43"/>
  <c r="BI46" i="4"/>
  <c r="E7" i="43"/>
  <c r="BI7" i="4"/>
  <c r="E17" i="43"/>
  <c r="BI17" i="4"/>
  <c r="E10" i="43"/>
  <c r="BI10" i="4"/>
  <c r="E11" i="43"/>
  <c r="BI11" i="4"/>
  <c r="E14" i="43"/>
  <c r="BI14" i="4"/>
  <c r="E15" i="43"/>
  <c r="BI15" i="4"/>
  <c r="E26" i="43"/>
  <c r="BI26" i="4"/>
  <c r="E21" i="43"/>
  <c r="BI21" i="4"/>
  <c r="E5" i="43"/>
  <c r="BI5" i="4"/>
  <c r="E18" i="43"/>
  <c r="BI18" i="4"/>
  <c r="E16" i="43"/>
  <c r="BI16" i="4"/>
  <c r="E27" i="43"/>
  <c r="BI27" i="4"/>
  <c r="E13" i="43"/>
  <c r="BI13" i="4"/>
  <c r="E19" i="43"/>
  <c r="BI19" i="4"/>
  <c r="E29" i="43"/>
  <c r="BI29" i="4"/>
  <c r="E12" i="43"/>
  <c r="BI12" i="4"/>
  <c r="E28" i="43"/>
  <c r="BI28" i="4"/>
  <c r="E8" i="43"/>
  <c r="BI8" i="4"/>
  <c r="E23" i="43"/>
  <c r="BI23" i="4"/>
  <c r="E4" i="43"/>
  <c r="BI3" i="4"/>
  <c r="E20" i="43"/>
  <c r="BI20" i="4"/>
  <c r="E38" i="43"/>
  <c r="BI44" i="4"/>
  <c r="E33" i="43"/>
  <c r="BI35" i="4"/>
  <c r="H3" i="2"/>
  <c r="J3" i="7" s="1"/>
  <c r="AC7" i="54"/>
  <c r="E34" i="43"/>
  <c r="E31" i="43"/>
  <c r="E30" i="43"/>
  <c r="E32" i="43"/>
  <c r="E25" i="43"/>
  <c r="E24" i="43"/>
  <c r="E36" i="43"/>
  <c r="E35" i="43"/>
  <c r="E37" i="43"/>
  <c r="E3" i="11"/>
  <c r="F3" i="11" s="1"/>
  <c r="D5" i="54"/>
  <c r="G5" i="7"/>
  <c r="BC209" i="5"/>
  <c r="B209" i="5"/>
  <c r="AH216" i="5"/>
  <c r="D6" i="54"/>
  <c r="BG212" i="5"/>
  <c r="BB209" i="5"/>
  <c r="BA209" i="5"/>
  <c r="BG211" i="5"/>
  <c r="Q26" i="54"/>
  <c r="R29" i="54"/>
  <c r="AC8" i="54"/>
  <c r="R12" i="11"/>
  <c r="AA4" i="53" s="1"/>
  <c r="AA4" i="54" s="1"/>
  <c r="F11" i="2"/>
  <c r="G11" i="7"/>
  <c r="AD24" i="54"/>
  <c r="AQ23" i="11"/>
  <c r="AE24" i="53"/>
  <c r="K5" i="54"/>
  <c r="N4" i="54"/>
  <c r="D3" i="54"/>
  <c r="AE11" i="54"/>
  <c r="AF21" i="54"/>
  <c r="K3" i="54"/>
  <c r="AG21" i="54"/>
  <c r="O10" i="11"/>
  <c r="W5" i="53"/>
  <c r="Z17" i="11"/>
  <c r="J18" i="53"/>
  <c r="AL21" i="11"/>
  <c r="Z22" i="53"/>
  <c r="X15" i="11"/>
  <c r="AF11" i="53"/>
  <c r="I8" i="54"/>
  <c r="I7" i="54"/>
  <c r="I9" i="54"/>
  <c r="W3" i="54"/>
  <c r="S29" i="54"/>
  <c r="AH18" i="11"/>
  <c r="R26" i="53"/>
  <c r="I20" i="54"/>
  <c r="G12" i="2"/>
  <c r="H12" i="7"/>
  <c r="U13" i="11"/>
  <c r="AD8" i="53" s="1"/>
  <c r="AI19" i="11"/>
  <c r="W20" i="53"/>
  <c r="K9" i="11"/>
  <c r="O4" i="53"/>
  <c r="AG12" i="54"/>
  <c r="I6" i="54"/>
  <c r="E3" i="53"/>
  <c r="A5" i="53" s="1"/>
  <c r="A5" i="54" s="1"/>
  <c r="F5" i="11"/>
  <c r="J8" i="53"/>
  <c r="E6" i="54"/>
  <c r="J9" i="53"/>
  <c r="F6" i="11"/>
  <c r="P11" i="11"/>
  <c r="X3" i="53"/>
  <c r="E4" i="54"/>
  <c r="Z16" i="11"/>
  <c r="J20" i="53"/>
  <c r="E2" i="11"/>
  <c r="I11" i="53"/>
  <c r="F4" i="11"/>
  <c r="J6" i="53"/>
  <c r="H8" i="11"/>
  <c r="L3" i="53"/>
  <c r="X19" i="54"/>
  <c r="R10" i="54"/>
  <c r="S10" i="53"/>
  <c r="I18" i="54"/>
  <c r="H7" i="11"/>
  <c r="L5" i="53"/>
  <c r="F5" i="2"/>
  <c r="H5" i="7"/>
  <c r="AG13" i="54"/>
  <c r="E5" i="54"/>
  <c r="AS22" i="11"/>
  <c r="I34" i="53"/>
  <c r="AK20" i="11"/>
  <c r="Y19" i="53"/>
  <c r="BG215" i="5"/>
  <c r="AM209" i="5"/>
  <c r="T209" i="5"/>
  <c r="AX209" i="5"/>
  <c r="AJ209" i="5"/>
  <c r="W209" i="5"/>
  <c r="AC209" i="5"/>
  <c r="AD209" i="5"/>
  <c r="AK209" i="5"/>
  <c r="F209" i="5"/>
  <c r="AF209" i="5"/>
  <c r="AR209" i="5"/>
  <c r="J209" i="5"/>
  <c r="Z209" i="5"/>
  <c r="H209" i="5"/>
  <c r="AL209" i="5"/>
  <c r="D209" i="5"/>
  <c r="P209" i="5"/>
  <c r="X209" i="5"/>
  <c r="AB209" i="5"/>
  <c r="AO209" i="5"/>
  <c r="AG209" i="5"/>
  <c r="AU209" i="5"/>
  <c r="M209" i="5"/>
  <c r="AQ209" i="5"/>
  <c r="C209" i="5"/>
  <c r="AV209" i="5"/>
  <c r="U209" i="5"/>
  <c r="Q209" i="5"/>
  <c r="AY209" i="5"/>
  <c r="E209" i="5"/>
  <c r="AS209" i="5"/>
  <c r="V209" i="5"/>
  <c r="L209" i="5"/>
  <c r="AJ216" i="5"/>
  <c r="AW209" i="5"/>
  <c r="AH209" i="5"/>
  <c r="I209" i="5"/>
  <c r="N209" i="5"/>
  <c r="AN209" i="5"/>
  <c r="G209" i="5"/>
  <c r="AA209" i="5"/>
  <c r="R209" i="5"/>
  <c r="AT209" i="5"/>
  <c r="Y209" i="5"/>
  <c r="AP209" i="5"/>
  <c r="O209" i="5"/>
  <c r="K209" i="5"/>
  <c r="S209" i="5"/>
  <c r="AE209" i="5"/>
  <c r="AZ209" i="5"/>
  <c r="H8" i="7"/>
  <c r="F8" i="2"/>
  <c r="G6" i="7"/>
  <c r="F6" i="2"/>
  <c r="H7" i="2"/>
  <c r="J7" i="7"/>
  <c r="F9" i="7"/>
  <c r="F9" i="2"/>
  <c r="G10" i="2"/>
  <c r="I10" i="7"/>
  <c r="E3" i="43"/>
  <c r="V14" i="11"/>
  <c r="AE7" i="53" s="1"/>
  <c r="H13" i="7"/>
  <c r="G13" i="2"/>
  <c r="I4" i="7"/>
  <c r="H4" i="2"/>
  <c r="K2" i="7"/>
  <c r="I2" i="2"/>
  <c r="BV50" i="4" l="1"/>
  <c r="BT50" i="4" s="1"/>
  <c r="BU50" i="4" s="1"/>
  <c r="BR41" i="4"/>
  <c r="BS41" i="4" s="1"/>
  <c r="BR47" i="4"/>
  <c r="BS47" i="4" s="1"/>
  <c r="AD7" i="54"/>
  <c r="BV41" i="4"/>
  <c r="BT41" i="4" s="1"/>
  <c r="BU41" i="4" s="1"/>
  <c r="BV39" i="4"/>
  <c r="BT39" i="4" s="1"/>
  <c r="BU39" i="4" s="1"/>
  <c r="BR48" i="4"/>
  <c r="BS48" i="4" s="1"/>
  <c r="BR39" i="4"/>
  <c r="BS39" i="4" s="1"/>
  <c r="BV48" i="4"/>
  <c r="BT48" i="4" s="1"/>
  <c r="BU48" i="4" s="1"/>
  <c r="BV36" i="4"/>
  <c r="BT36" i="4" s="1"/>
  <c r="BU36" i="4" s="1"/>
  <c r="BR32" i="4"/>
  <c r="BS32" i="4" s="1"/>
  <c r="BR36" i="4"/>
  <c r="BS36" i="4" s="1"/>
  <c r="BV32" i="4"/>
  <c r="BT32" i="4" s="1"/>
  <c r="BU32" i="4" s="1"/>
  <c r="BR49" i="4"/>
  <c r="BS49" i="4" s="1"/>
  <c r="BR45" i="4"/>
  <c r="BS45" i="4" s="1"/>
  <c r="BV45" i="4"/>
  <c r="BT45" i="4" s="1"/>
  <c r="BU45" i="4" s="1"/>
  <c r="BV49" i="4"/>
  <c r="BT49" i="4" s="1"/>
  <c r="BU49" i="4" s="1"/>
  <c r="BR40" i="4"/>
  <c r="BS40" i="4" s="1"/>
  <c r="BR46" i="4"/>
  <c r="BS46" i="4" s="1"/>
  <c r="I3" i="2"/>
  <c r="K3" i="7" s="1"/>
  <c r="BV40" i="4"/>
  <c r="BT40" i="4" s="1"/>
  <c r="BV43" i="4"/>
  <c r="BT43" i="4" s="1"/>
  <c r="BR37" i="4"/>
  <c r="BS37" i="4" s="1"/>
  <c r="BR43" i="4"/>
  <c r="BS43" i="4" s="1"/>
  <c r="BR34" i="4"/>
  <c r="BS34" i="4" s="1"/>
  <c r="BR51" i="4"/>
  <c r="BS51" i="4" s="1"/>
  <c r="BV37" i="4"/>
  <c r="BT37" i="4" s="1"/>
  <c r="BU37" i="4" s="1"/>
  <c r="J7" i="53"/>
  <c r="J7" i="54" s="1"/>
  <c r="BV34" i="4"/>
  <c r="BT34" i="4" s="1"/>
  <c r="BU34" i="4" s="1"/>
  <c r="AG202" i="5"/>
  <c r="AK202" i="5"/>
  <c r="BR30" i="4"/>
  <c r="BR31" i="4"/>
  <c r="BR38" i="4"/>
  <c r="BR42" i="4"/>
  <c r="BV42" i="4"/>
  <c r="BT42" i="4" s="1"/>
  <c r="BU42" i="4" s="1"/>
  <c r="J20" i="54"/>
  <c r="L3" i="54"/>
  <c r="A4" i="53"/>
  <c r="A4" i="54" s="1"/>
  <c r="A6" i="53"/>
  <c r="A6" i="54" s="1"/>
  <c r="BR33" i="4"/>
  <c r="BR35" i="4"/>
  <c r="BR25" i="4"/>
  <c r="BR24" i="4"/>
  <c r="BR15" i="4"/>
  <c r="G15" i="43" s="1"/>
  <c r="BR29" i="4"/>
  <c r="G29" i="43" s="1"/>
  <c r="BR11" i="4"/>
  <c r="G11" i="43" s="1"/>
  <c r="BR23" i="4"/>
  <c r="G23" i="43" s="1"/>
  <c r="BR22" i="4"/>
  <c r="G22" i="43" s="1"/>
  <c r="BR17" i="4"/>
  <c r="G17" i="43" s="1"/>
  <c r="BR20" i="4"/>
  <c r="G20" i="43" s="1"/>
  <c r="BR16" i="4"/>
  <c r="G16" i="43" s="1"/>
  <c r="BR3" i="4"/>
  <c r="BR8" i="4"/>
  <c r="BR5" i="4"/>
  <c r="G5" i="43" s="1"/>
  <c r="BR13" i="4"/>
  <c r="G13" i="43" s="1"/>
  <c r="BR12" i="4"/>
  <c r="G12" i="43" s="1"/>
  <c r="BR26" i="4"/>
  <c r="BR10" i="4"/>
  <c r="G10" i="43" s="1"/>
  <c r="BR21" i="4"/>
  <c r="G21" i="43" s="1"/>
  <c r="BR9" i="4"/>
  <c r="BR6" i="4"/>
  <c r="G6" i="43" s="1"/>
  <c r="BR19" i="4"/>
  <c r="G19" i="43" s="1"/>
  <c r="BR7" i="4"/>
  <c r="G7" i="43" s="1"/>
  <c r="BR28" i="4"/>
  <c r="G28" i="43" s="1"/>
  <c r="BR44" i="4"/>
  <c r="BR14" i="4"/>
  <c r="G14" i="43" s="1"/>
  <c r="BR4" i="4"/>
  <c r="BR18" i="4"/>
  <c r="G18" i="43" s="1"/>
  <c r="BR27" i="4"/>
  <c r="G27" i="43" s="1"/>
  <c r="BV33" i="4"/>
  <c r="BT33" i="4" s="1"/>
  <c r="BU33" i="4" s="1"/>
  <c r="L5" i="54"/>
  <c r="AE7" i="54"/>
  <c r="X3" i="54"/>
  <c r="AD8" i="54"/>
  <c r="BV7" i="4"/>
  <c r="BT7" i="4" s="1"/>
  <c r="BV23" i="4"/>
  <c r="BT23" i="4" s="1"/>
  <c r="BV14" i="4"/>
  <c r="BT14" i="4" s="1"/>
  <c r="BV24" i="4"/>
  <c r="BT24" i="4" s="1"/>
  <c r="BV21" i="4"/>
  <c r="BT21" i="4" s="1"/>
  <c r="BV6" i="4"/>
  <c r="BT6" i="4" s="1"/>
  <c r="BV11" i="4"/>
  <c r="BT11" i="4" s="1"/>
  <c r="BV12" i="4"/>
  <c r="BT12" i="4" s="1"/>
  <c r="BV25" i="4"/>
  <c r="BT25" i="4" s="1"/>
  <c r="BV8" i="4"/>
  <c r="BT8" i="4" s="1"/>
  <c r="BV3" i="4"/>
  <c r="BT3" i="4" s="1"/>
  <c r="BV16" i="4"/>
  <c r="BT16" i="4" s="1"/>
  <c r="BV29" i="4"/>
  <c r="BT29" i="4" s="1"/>
  <c r="BV18" i="4"/>
  <c r="BT18" i="4" s="1"/>
  <c r="BV28" i="4"/>
  <c r="BT28" i="4" s="1"/>
  <c r="BV26" i="4"/>
  <c r="BT26" i="4" s="1"/>
  <c r="BV20" i="4"/>
  <c r="BT20" i="4" s="1"/>
  <c r="BV17" i="4"/>
  <c r="BT17" i="4" s="1"/>
  <c r="BV27" i="4"/>
  <c r="BT27" i="4" s="1"/>
  <c r="BV15" i="4"/>
  <c r="BT15" i="4" s="1"/>
  <c r="BV13" i="4"/>
  <c r="BT13" i="4" s="1"/>
  <c r="AI209" i="5"/>
  <c r="BV4" i="4" s="1"/>
  <c r="BT4" i="4" s="1"/>
  <c r="BV5" i="4"/>
  <c r="BT5" i="4" s="1"/>
  <c r="BV19" i="4"/>
  <c r="BT19" i="4" s="1"/>
  <c r="S12" i="11"/>
  <c r="AB4" i="53" s="1"/>
  <c r="AB4" i="54" s="1"/>
  <c r="H11" i="7"/>
  <c r="G11" i="2"/>
  <c r="AE24" i="54"/>
  <c r="AR23" i="11"/>
  <c r="AF24" i="53"/>
  <c r="O4" i="54"/>
  <c r="J6" i="54"/>
  <c r="J8" i="54"/>
  <c r="Y19" i="54"/>
  <c r="Y15" i="11"/>
  <c r="I19" i="53"/>
  <c r="AA17" i="11"/>
  <c r="K18" i="53"/>
  <c r="AL20" i="11"/>
  <c r="Z19" i="53"/>
  <c r="G4" i="11"/>
  <c r="K6" i="53"/>
  <c r="AA16" i="11"/>
  <c r="K20" i="53"/>
  <c r="Q11" i="11"/>
  <c r="Y3" i="53"/>
  <c r="G3" i="11"/>
  <c r="K7" i="53"/>
  <c r="G5" i="11"/>
  <c r="K8" i="53"/>
  <c r="L9" i="11"/>
  <c r="P4" i="53"/>
  <c r="R26" i="54"/>
  <c r="S26" i="53"/>
  <c r="Z22" i="54"/>
  <c r="AT22" i="11"/>
  <c r="J34" i="53"/>
  <c r="S10" i="54"/>
  <c r="I11" i="54"/>
  <c r="G6" i="11"/>
  <c r="K9" i="53"/>
  <c r="W20" i="54"/>
  <c r="I12" i="7"/>
  <c r="H12" i="2"/>
  <c r="V13" i="11"/>
  <c r="AE8" i="53" s="1"/>
  <c r="AI18" i="11"/>
  <c r="W26" i="53"/>
  <c r="AM21" i="11"/>
  <c r="AA22" i="53"/>
  <c r="W5" i="54"/>
  <c r="G5" i="2"/>
  <c r="I5" i="7"/>
  <c r="I7" i="11"/>
  <c r="M5" i="53"/>
  <c r="I8" i="11"/>
  <c r="M3" i="53"/>
  <c r="F2" i="11"/>
  <c r="J11" i="53"/>
  <c r="J9" i="54"/>
  <c r="E3" i="54"/>
  <c r="A7" i="53"/>
  <c r="A7" i="54" s="1"/>
  <c r="A3" i="53"/>
  <c r="A3" i="54" s="1"/>
  <c r="AJ19" i="11"/>
  <c r="X20" i="53"/>
  <c r="AF11" i="54"/>
  <c r="AG11" i="53"/>
  <c r="J18" i="54"/>
  <c r="P10" i="11"/>
  <c r="X5" i="53"/>
  <c r="I4" i="2"/>
  <c r="J4" i="7"/>
  <c r="G8" i="2"/>
  <c r="I8" i="7"/>
  <c r="H10" i="2"/>
  <c r="J10" i="7"/>
  <c r="H13" i="2"/>
  <c r="W14" i="11"/>
  <c r="AF7" i="53" s="1"/>
  <c r="I13" i="7"/>
  <c r="I7" i="2"/>
  <c r="K7" i="7"/>
  <c r="L2" i="7"/>
  <c r="J2" i="2"/>
  <c r="G9" i="7"/>
  <c r="G9" i="2"/>
  <c r="G6" i="2"/>
  <c r="H6" i="7"/>
  <c r="BL50" i="4" l="1"/>
  <c r="BM50" i="4" s="1"/>
  <c r="BL47" i="4"/>
  <c r="BM47" i="4" s="1"/>
  <c r="BL41" i="4"/>
  <c r="BM41" i="4" s="1"/>
  <c r="BL39" i="4"/>
  <c r="BM39" i="4" s="1"/>
  <c r="BL48" i="4"/>
  <c r="BM48" i="4" s="1"/>
  <c r="BL32" i="4"/>
  <c r="BM32" i="4" s="1"/>
  <c r="BL36" i="4"/>
  <c r="BM36" i="4" s="1"/>
  <c r="BL45" i="4"/>
  <c r="BM45" i="4" s="1"/>
  <c r="J3" i="2"/>
  <c r="K3" i="2" s="1"/>
  <c r="BL49" i="4"/>
  <c r="BM49" i="4" s="1"/>
  <c r="BV46" i="4"/>
  <c r="BT46" i="4" s="1"/>
  <c r="BL40" i="4"/>
  <c r="BM40" i="4" s="1"/>
  <c r="G37" i="43"/>
  <c r="BU40" i="4"/>
  <c r="K7" i="54"/>
  <c r="BL43" i="4"/>
  <c r="BM43" i="4" s="1"/>
  <c r="BU43" i="4"/>
  <c r="G39" i="43"/>
  <c r="G32" i="43"/>
  <c r="G38" i="43"/>
  <c r="G33" i="43"/>
  <c r="G9" i="43"/>
  <c r="G24" i="43"/>
  <c r="G25" i="43"/>
  <c r="G4" i="43"/>
  <c r="G26" i="43"/>
  <c r="G8" i="43"/>
  <c r="BL51" i="4"/>
  <c r="BM51" i="4" s="1"/>
  <c r="BV51" i="4"/>
  <c r="BT51" i="4" s="1"/>
  <c r="BU51" i="4" s="1"/>
  <c r="G35" i="43"/>
  <c r="BL34" i="4"/>
  <c r="BM34" i="4" s="1"/>
  <c r="BL37" i="4"/>
  <c r="BM37" i="4" s="1"/>
  <c r="BV31" i="4"/>
  <c r="BT31" i="4" s="1"/>
  <c r="BU31" i="4" s="1"/>
  <c r="BS42" i="4"/>
  <c r="G36" i="43"/>
  <c r="BS38" i="4"/>
  <c r="G34" i="43"/>
  <c r="BS31" i="4"/>
  <c r="G31" i="43"/>
  <c r="BS30" i="4"/>
  <c r="G30" i="43"/>
  <c r="BV38" i="4"/>
  <c r="BT38" i="4" s="1"/>
  <c r="BU38" i="4" s="1"/>
  <c r="BV30" i="4"/>
  <c r="BT30" i="4" s="1"/>
  <c r="BU30" i="4" s="1"/>
  <c r="BL38" i="4"/>
  <c r="BL30" i="4"/>
  <c r="BL31" i="4"/>
  <c r="M3" i="54"/>
  <c r="BL46" i="4"/>
  <c r="K20" i="54"/>
  <c r="BL42" i="4"/>
  <c r="M5" i="54"/>
  <c r="AF7" i="54"/>
  <c r="BL33" i="4"/>
  <c r="BM33" i="4" s="1"/>
  <c r="X20" i="54"/>
  <c r="BS27" i="4"/>
  <c r="BS44" i="4"/>
  <c r="BS6" i="4"/>
  <c r="BS26" i="4"/>
  <c r="BS8" i="4"/>
  <c r="BS17" i="4"/>
  <c r="BS29" i="4"/>
  <c r="BS35" i="4"/>
  <c r="BS18" i="4"/>
  <c r="BS28" i="4"/>
  <c r="BS9" i="4"/>
  <c r="BS12" i="4"/>
  <c r="BS3" i="4"/>
  <c r="BS22" i="4"/>
  <c r="BS15" i="4"/>
  <c r="G3" i="43"/>
  <c r="BS4" i="4"/>
  <c r="BS7" i="4"/>
  <c r="BS21" i="4"/>
  <c r="BS13" i="4"/>
  <c r="BS16" i="4"/>
  <c r="BS23" i="4"/>
  <c r="BS24" i="4"/>
  <c r="BS14" i="4"/>
  <c r="BS19" i="4"/>
  <c r="BS10" i="4"/>
  <c r="BS5" i="4"/>
  <c r="BS20" i="4"/>
  <c r="BS11" i="4"/>
  <c r="BS25" i="4"/>
  <c r="BS33" i="4"/>
  <c r="AE8" i="54"/>
  <c r="Y3" i="54"/>
  <c r="BU17" i="4"/>
  <c r="BU18" i="4"/>
  <c r="BU6" i="4"/>
  <c r="BU14" i="4"/>
  <c r="BU19" i="4"/>
  <c r="BU13" i="4"/>
  <c r="BU20" i="4"/>
  <c r="BU29" i="4"/>
  <c r="BU25" i="4"/>
  <c r="BU21" i="4"/>
  <c r="BU23" i="4"/>
  <c r="BU8" i="4"/>
  <c r="BU5" i="4"/>
  <c r="BU15" i="4"/>
  <c r="BU26" i="4"/>
  <c r="BU16" i="4"/>
  <c r="BU12" i="4"/>
  <c r="BU4" i="4"/>
  <c r="BU27" i="4"/>
  <c r="BU28" i="4"/>
  <c r="BU3" i="4"/>
  <c r="BU11" i="4"/>
  <c r="BU24" i="4"/>
  <c r="BU7" i="4"/>
  <c r="BV35" i="4"/>
  <c r="BT35" i="4" s="1"/>
  <c r="BV10" i="4"/>
  <c r="BT10" i="4" s="1"/>
  <c r="BV9" i="4"/>
  <c r="BT9" i="4" s="1"/>
  <c r="BV22" i="4"/>
  <c r="BT22" i="4" s="1"/>
  <c r="BV44" i="4"/>
  <c r="BT44" i="4" s="1"/>
  <c r="BL35" i="4"/>
  <c r="BM35" i="4" s="1"/>
  <c r="BL25" i="4"/>
  <c r="BM25" i="4" s="1"/>
  <c r="I11" i="7"/>
  <c r="T12" i="11"/>
  <c r="AC4" i="53" s="1"/>
  <c r="AC4" i="54" s="1"/>
  <c r="H11" i="2"/>
  <c r="Z19" i="54"/>
  <c r="J11" i="54"/>
  <c r="K6" i="54"/>
  <c r="AG24" i="53"/>
  <c r="AG24" i="54" s="1"/>
  <c r="AF24" i="54"/>
  <c r="AS23" i="11"/>
  <c r="I33" i="53"/>
  <c r="I33" i="54" s="1"/>
  <c r="K8" i="54"/>
  <c r="BL24" i="4"/>
  <c r="BM24" i="4" s="1"/>
  <c r="AA22" i="54"/>
  <c r="Q10" i="11"/>
  <c r="Y5" i="53"/>
  <c r="J8" i="11"/>
  <c r="N3" i="53"/>
  <c r="AU22" i="11"/>
  <c r="K34" i="53"/>
  <c r="H5" i="11"/>
  <c r="L8" i="53"/>
  <c r="R11" i="11"/>
  <c r="Z3" i="53"/>
  <c r="H4" i="11"/>
  <c r="L6" i="53"/>
  <c r="Z15" i="11"/>
  <c r="J19" i="53"/>
  <c r="J7" i="11"/>
  <c r="N5" i="53"/>
  <c r="W13" i="11"/>
  <c r="AF8" i="53" s="1"/>
  <c r="J12" i="7"/>
  <c r="I12" i="2"/>
  <c r="K9" i="54"/>
  <c r="P4" i="54"/>
  <c r="K18" i="54"/>
  <c r="AG7" i="53"/>
  <c r="AG11" i="54"/>
  <c r="G2" i="11"/>
  <c r="K11" i="53"/>
  <c r="W26" i="54"/>
  <c r="H6" i="11"/>
  <c r="L9" i="53"/>
  <c r="M9" i="11"/>
  <c r="Q4" i="53"/>
  <c r="H3" i="11"/>
  <c r="L7" i="53"/>
  <c r="L20" i="53"/>
  <c r="AB16" i="11"/>
  <c r="AB17" i="11"/>
  <c r="L18" i="53"/>
  <c r="X5" i="54"/>
  <c r="AK19" i="11"/>
  <c r="Y20" i="53"/>
  <c r="J5" i="7"/>
  <c r="H5" i="2"/>
  <c r="AN21" i="11"/>
  <c r="AB22" i="53"/>
  <c r="AJ18" i="11"/>
  <c r="X26" i="53"/>
  <c r="S26" i="54"/>
  <c r="AM20" i="11"/>
  <c r="AA19" i="53"/>
  <c r="I19" i="54"/>
  <c r="K2" i="2"/>
  <c r="M2" i="7"/>
  <c r="I13" i="2"/>
  <c r="J13" i="7"/>
  <c r="X14" i="11"/>
  <c r="I22" i="53" s="1"/>
  <c r="I6" i="7"/>
  <c r="H6" i="2"/>
  <c r="L7" i="7"/>
  <c r="J7" i="2"/>
  <c r="BL22" i="4"/>
  <c r="BL8" i="4"/>
  <c r="BL4" i="4"/>
  <c r="BL9" i="4"/>
  <c r="BL6" i="4"/>
  <c r="BL18" i="4"/>
  <c r="BL21" i="4"/>
  <c r="BL15" i="4"/>
  <c r="BL12" i="4"/>
  <c r="BL14" i="4"/>
  <c r="BL10" i="4"/>
  <c r="BL11" i="4"/>
  <c r="BL44" i="4"/>
  <c r="BL13" i="4"/>
  <c r="BL23" i="4"/>
  <c r="BL29" i="4"/>
  <c r="BL20" i="4"/>
  <c r="BL5" i="4"/>
  <c r="BL17" i="4"/>
  <c r="BL7" i="4"/>
  <c r="BL3" i="4"/>
  <c r="BL16" i="4"/>
  <c r="BL27" i="4"/>
  <c r="BL26" i="4"/>
  <c r="BL28" i="4"/>
  <c r="BL19" i="4"/>
  <c r="H8" i="2"/>
  <c r="J8" i="7"/>
  <c r="H9" i="2"/>
  <c r="H9" i="7"/>
  <c r="K10" i="7"/>
  <c r="I10" i="2"/>
  <c r="J4" i="2"/>
  <c r="K4" i="7"/>
  <c r="L3" i="7" l="1"/>
  <c r="BM46" i="4"/>
  <c r="BU46" i="4"/>
  <c r="N3" i="54"/>
  <c r="BM31" i="4"/>
  <c r="BM30" i="4"/>
  <c r="BM38" i="4"/>
  <c r="Y20" i="54"/>
  <c r="N5" i="54"/>
  <c r="BM42" i="4"/>
  <c r="K11" i="54"/>
  <c r="BU22" i="4"/>
  <c r="BU9" i="4"/>
  <c r="BU10" i="4"/>
  <c r="BU44" i="4"/>
  <c r="BU35" i="4"/>
  <c r="L8" i="54"/>
  <c r="I11" i="2"/>
  <c r="U12" i="11"/>
  <c r="AD4" i="53" s="1"/>
  <c r="AD4" i="54" s="1"/>
  <c r="J11" i="7"/>
  <c r="AA19" i="54"/>
  <c r="AB22" i="54"/>
  <c r="Q4" i="54"/>
  <c r="AT23" i="11"/>
  <c r="J33" i="53"/>
  <c r="J33" i="54" s="1"/>
  <c r="L18" i="54"/>
  <c r="X26" i="54"/>
  <c r="I22" i="54"/>
  <c r="AC16" i="11"/>
  <c r="M20" i="53"/>
  <c r="I6" i="11"/>
  <c r="M9" i="53"/>
  <c r="H2" i="11"/>
  <c r="L11" i="53"/>
  <c r="L6" i="54"/>
  <c r="AV22" i="11"/>
  <c r="L34" i="53"/>
  <c r="Y5" i="54"/>
  <c r="AN20" i="11"/>
  <c r="AB19" i="53"/>
  <c r="AK18" i="11"/>
  <c r="Y26" i="53"/>
  <c r="L20" i="54"/>
  <c r="N9" i="11"/>
  <c r="W9" i="53" s="1"/>
  <c r="R4" i="53"/>
  <c r="K12" i="7"/>
  <c r="X13" i="11"/>
  <c r="I21" i="53" s="1"/>
  <c r="J12" i="2"/>
  <c r="J19" i="54"/>
  <c r="I4" i="11"/>
  <c r="M6" i="53"/>
  <c r="I5" i="11"/>
  <c r="M8" i="53"/>
  <c r="R10" i="11"/>
  <c r="Z5" i="53"/>
  <c r="I5" i="2"/>
  <c r="K5" i="7"/>
  <c r="L7" i="54"/>
  <c r="K7" i="11"/>
  <c r="O5" i="53"/>
  <c r="AA15" i="11"/>
  <c r="K19" i="53"/>
  <c r="Z3" i="54"/>
  <c r="AO21" i="11"/>
  <c r="AC22" i="53"/>
  <c r="AL19" i="11"/>
  <c r="Z20" i="53"/>
  <c r="AC17" i="11"/>
  <c r="M18" i="53"/>
  <c r="I3" i="11"/>
  <c r="M7" i="53"/>
  <c r="L9" i="54"/>
  <c r="AG7" i="54"/>
  <c r="AF8" i="54"/>
  <c r="AG8" i="53"/>
  <c r="S11" i="11"/>
  <c r="AA3" i="53"/>
  <c r="K8" i="11"/>
  <c r="O3" i="53"/>
  <c r="K4" i="2"/>
  <c r="L4" i="7"/>
  <c r="BM28" i="4"/>
  <c r="BM20" i="4"/>
  <c r="BM12" i="4"/>
  <c r="BM22" i="4"/>
  <c r="BM26" i="4"/>
  <c r="BM7" i="4"/>
  <c r="BM15" i="4"/>
  <c r="M7" i="7"/>
  <c r="K7" i="2"/>
  <c r="BM4" i="4"/>
  <c r="M3" i="7"/>
  <c r="L3" i="2"/>
  <c r="I9" i="2"/>
  <c r="I9" i="7"/>
  <c r="BM3" i="4"/>
  <c r="BM44" i="4"/>
  <c r="BM6" i="4"/>
  <c r="L10" i="7"/>
  <c r="J10" i="2"/>
  <c r="BM29" i="4"/>
  <c r="BM11" i="4"/>
  <c r="BM9" i="4"/>
  <c r="J13" i="2"/>
  <c r="Y14" i="11"/>
  <c r="J22" i="53" s="1"/>
  <c r="K13" i="7"/>
  <c r="I8" i="2"/>
  <c r="K8" i="7"/>
  <c r="BM27" i="4"/>
  <c r="BM17" i="4"/>
  <c r="BM23" i="4"/>
  <c r="BM10" i="4"/>
  <c r="BM21" i="4"/>
  <c r="BM19" i="4"/>
  <c r="BM16" i="4"/>
  <c r="BM5" i="4"/>
  <c r="BM13" i="4"/>
  <c r="BM14" i="4"/>
  <c r="BM18" i="4"/>
  <c r="BM8" i="4"/>
  <c r="I6" i="2"/>
  <c r="J6" i="7"/>
  <c r="L2" i="2"/>
  <c r="N2" i="7"/>
  <c r="BU53" i="4" l="1"/>
  <c r="BW50" i="4" s="1"/>
  <c r="BX50" i="4" s="1"/>
  <c r="BM53" i="4"/>
  <c r="BN50" i="4" s="1"/>
  <c r="BO50" i="4" s="1"/>
  <c r="Z20" i="54"/>
  <c r="O5" i="54"/>
  <c r="J22" i="54"/>
  <c r="R4" i="54"/>
  <c r="AB19" i="54"/>
  <c r="M18" i="54"/>
  <c r="AC22" i="54"/>
  <c r="M6" i="54"/>
  <c r="V12" i="11"/>
  <c r="AE4" i="53" s="1"/>
  <c r="AE4" i="54" s="1"/>
  <c r="J11" i="2"/>
  <c r="K11" i="7"/>
  <c r="K33" i="53"/>
  <c r="K33" i="54" s="1"/>
  <c r="AU23" i="11"/>
  <c r="Y26" i="54"/>
  <c r="M7" i="54"/>
  <c r="AA3" i="54"/>
  <c r="K19" i="54"/>
  <c r="Z5" i="54"/>
  <c r="J5" i="11"/>
  <c r="N8" i="53"/>
  <c r="Y13" i="11"/>
  <c r="J21" i="53" s="1"/>
  <c r="K12" i="2"/>
  <c r="L12" i="7"/>
  <c r="AW22" i="11"/>
  <c r="M34" i="53"/>
  <c r="I2" i="11"/>
  <c r="M11" i="53"/>
  <c r="AD16" i="11"/>
  <c r="N20" i="53"/>
  <c r="AG8" i="54"/>
  <c r="J3" i="11"/>
  <c r="N7" i="53"/>
  <c r="AM19" i="11"/>
  <c r="AA20" i="53"/>
  <c r="AB15" i="11"/>
  <c r="L19" i="53"/>
  <c r="S10" i="11"/>
  <c r="AA5" i="53"/>
  <c r="I21" i="54"/>
  <c r="AO20" i="11"/>
  <c r="AC19" i="53"/>
  <c r="M9" i="54"/>
  <c r="J4" i="11"/>
  <c r="N6" i="53"/>
  <c r="O9" i="11"/>
  <c r="X9" i="53" s="1"/>
  <c r="AG9" i="53" s="1"/>
  <c r="S4" i="53"/>
  <c r="J6" i="11"/>
  <c r="N9" i="53"/>
  <c r="O3" i="54"/>
  <c r="L8" i="11"/>
  <c r="P3" i="53"/>
  <c r="T11" i="11"/>
  <c r="AB3" i="53"/>
  <c r="AD17" i="11"/>
  <c r="N18" i="53"/>
  <c r="AP21" i="11"/>
  <c r="AD22" i="53"/>
  <c r="L7" i="11"/>
  <c r="P5" i="53"/>
  <c r="L5" i="7"/>
  <c r="J5" i="2"/>
  <c r="M8" i="54"/>
  <c r="AL18" i="11"/>
  <c r="Z26" i="53"/>
  <c r="L11" i="54"/>
  <c r="M20" i="54"/>
  <c r="J6" i="2"/>
  <c r="L6" i="7" s="1"/>
  <c r="K6" i="7"/>
  <c r="K10" i="2"/>
  <c r="M10" i="7"/>
  <c r="J8" i="2"/>
  <c r="L8" i="7"/>
  <c r="J9" i="7"/>
  <c r="J9" i="2"/>
  <c r="O2" i="7"/>
  <c r="M2" i="2"/>
  <c r="N3" i="7"/>
  <c r="M3" i="2"/>
  <c r="L7" i="2"/>
  <c r="N7" i="7"/>
  <c r="Z14" i="11"/>
  <c r="K22" i="53" s="1"/>
  <c r="L13" i="7"/>
  <c r="K13" i="2"/>
  <c r="M4" i="7"/>
  <c r="L4" i="2"/>
  <c r="BN41" i="4" l="1"/>
  <c r="BO41" i="4" s="1"/>
  <c r="BN47" i="4"/>
  <c r="BO47" i="4" s="1"/>
  <c r="BW41" i="4"/>
  <c r="BX41" i="4" s="1"/>
  <c r="BW47" i="4"/>
  <c r="BX47" i="4" s="1"/>
  <c r="BN48" i="4"/>
  <c r="BO48" i="4" s="1"/>
  <c r="BN39" i="4"/>
  <c r="BO39" i="4" s="1"/>
  <c r="BW48" i="4"/>
  <c r="BX48" i="4" s="1"/>
  <c r="BW39" i="4"/>
  <c r="BX39" i="4" s="1"/>
  <c r="BN32" i="4"/>
  <c r="BO32" i="4" s="1"/>
  <c r="BN36" i="4"/>
  <c r="BO36" i="4" s="1"/>
  <c r="BW32" i="4"/>
  <c r="BX32" i="4" s="1"/>
  <c r="BW36" i="4"/>
  <c r="BX36" i="4" s="1"/>
  <c r="AA20" i="54"/>
  <c r="BN40" i="4"/>
  <c r="BO40" i="4" s="1"/>
  <c r="BN45" i="4"/>
  <c r="BO45" i="4" s="1"/>
  <c r="BW49" i="4"/>
  <c r="BX49" i="4" s="1"/>
  <c r="BW45" i="4"/>
  <c r="BX45" i="4" s="1"/>
  <c r="BW40" i="4"/>
  <c r="BX40" i="4" s="1"/>
  <c r="BW46" i="4"/>
  <c r="BX46" i="4" s="1"/>
  <c r="BN49" i="4"/>
  <c r="BO49" i="4" s="1"/>
  <c r="BN46" i="4"/>
  <c r="BO46" i="4" s="1"/>
  <c r="BW51" i="4"/>
  <c r="BX51" i="4" s="1"/>
  <c r="BW43" i="4"/>
  <c r="BX43" i="4" s="1"/>
  <c r="BN51" i="4"/>
  <c r="BO51" i="4" s="1"/>
  <c r="BN43" i="4"/>
  <c r="BO43" i="4" s="1"/>
  <c r="BW37" i="4"/>
  <c r="BX37" i="4" s="1"/>
  <c r="BW34" i="4"/>
  <c r="BX34" i="4" s="1"/>
  <c r="BN37" i="4"/>
  <c r="BN34" i="4"/>
  <c r="P5" i="54"/>
  <c r="BN31" i="4"/>
  <c r="BN30" i="4"/>
  <c r="BN38" i="4"/>
  <c r="BW30" i="4"/>
  <c r="BX30" i="4" s="1"/>
  <c r="BW38" i="4"/>
  <c r="BX38" i="4" s="1"/>
  <c r="BW31" i="4"/>
  <c r="BX31" i="4" s="1"/>
  <c r="N18" i="54"/>
  <c r="K22" i="54"/>
  <c r="BN33" i="4"/>
  <c r="BN42" i="4"/>
  <c r="BW33" i="4"/>
  <c r="BX33" i="4" s="1"/>
  <c r="BW42" i="4"/>
  <c r="BX42" i="4" s="1"/>
  <c r="N6" i="54"/>
  <c r="BW12" i="4"/>
  <c r="BX12" i="4" s="1"/>
  <c r="BW26" i="4"/>
  <c r="BX26" i="4" s="1"/>
  <c r="BW8" i="4"/>
  <c r="BX8" i="4" s="1"/>
  <c r="BW35" i="4"/>
  <c r="BX35" i="4" s="1"/>
  <c r="BW3" i="4"/>
  <c r="BX3" i="4" s="1"/>
  <c r="BW7" i="4"/>
  <c r="BX7" i="4" s="1"/>
  <c r="BW44" i="4"/>
  <c r="BX44" i="4" s="1"/>
  <c r="BW27" i="4"/>
  <c r="BX27" i="4" s="1"/>
  <c r="BW10" i="4"/>
  <c r="BX10" i="4" s="1"/>
  <c r="BW29" i="4"/>
  <c r="BX29" i="4" s="1"/>
  <c r="BW23" i="4"/>
  <c r="BX23" i="4" s="1"/>
  <c r="BW4" i="4"/>
  <c r="BX4" i="4" s="1"/>
  <c r="BW14" i="4"/>
  <c r="BX14" i="4" s="1"/>
  <c r="BW15" i="4"/>
  <c r="BX15" i="4" s="1"/>
  <c r="BW19" i="4"/>
  <c r="BX19" i="4" s="1"/>
  <c r="BW5" i="4"/>
  <c r="BX5" i="4" s="1"/>
  <c r="BW11" i="4"/>
  <c r="BX11" i="4" s="1"/>
  <c r="BW13" i="4"/>
  <c r="BX13" i="4" s="1"/>
  <c r="BW20" i="4"/>
  <c r="BX20" i="4" s="1"/>
  <c r="BW21" i="4"/>
  <c r="BX21" i="4" s="1"/>
  <c r="AD22" i="54"/>
  <c r="AB3" i="54"/>
  <c r="BW6" i="4"/>
  <c r="BX6" i="4" s="1"/>
  <c r="BW9" i="4"/>
  <c r="BX9" i="4" s="1"/>
  <c r="BW22" i="4"/>
  <c r="BX22" i="4" s="1"/>
  <c r="BW24" i="4"/>
  <c r="BX24" i="4" s="1"/>
  <c r="BW16" i="4"/>
  <c r="BX16" i="4" s="1"/>
  <c r="BW25" i="4"/>
  <c r="BX25" i="4" s="1"/>
  <c r="BW17" i="4"/>
  <c r="BX17" i="4" s="1"/>
  <c r="BW18" i="4"/>
  <c r="BX18" i="4" s="1"/>
  <c r="BW28" i="4"/>
  <c r="BX28" i="4" s="1"/>
  <c r="BN4" i="4"/>
  <c r="BN35" i="4"/>
  <c r="AA5" i="54"/>
  <c r="Z26" i="54"/>
  <c r="N7" i="54"/>
  <c r="L11" i="7"/>
  <c r="W12" i="11"/>
  <c r="AF4" i="53" s="1"/>
  <c r="K11" i="2"/>
  <c r="BN24" i="4"/>
  <c r="BN25" i="4"/>
  <c r="AV23" i="11"/>
  <c r="L33" i="53"/>
  <c r="L33" i="54" s="1"/>
  <c r="P3" i="54"/>
  <c r="L19" i="54"/>
  <c r="AM18" i="11"/>
  <c r="AA26" i="53"/>
  <c r="AQ21" i="11"/>
  <c r="AE22" i="53"/>
  <c r="S4" i="54"/>
  <c r="K4" i="11"/>
  <c r="O6" i="53"/>
  <c r="AC19" i="54"/>
  <c r="AN19" i="11"/>
  <c r="AB20" i="53"/>
  <c r="N20" i="54"/>
  <c r="N8" i="54"/>
  <c r="M7" i="11"/>
  <c r="Q5" i="53"/>
  <c r="Q5" i="54" s="1"/>
  <c r="U11" i="11"/>
  <c r="AC3" i="53"/>
  <c r="W9" i="54"/>
  <c r="X9" i="54" s="1"/>
  <c r="Y9" i="54" s="1"/>
  <c r="Z9" i="54" s="1"/>
  <c r="AA9" i="54" s="1"/>
  <c r="AB9" i="54" s="1"/>
  <c r="AC9" i="54" s="1"/>
  <c r="AD9" i="54" s="1"/>
  <c r="AE9" i="54" s="1"/>
  <c r="AF9" i="54" s="1"/>
  <c r="AP20" i="11"/>
  <c r="AD19" i="53"/>
  <c r="AC15" i="11"/>
  <c r="M19" i="53"/>
  <c r="AE16" i="11"/>
  <c r="O20" i="53"/>
  <c r="K5" i="11"/>
  <c r="O8" i="53"/>
  <c r="K3" i="11"/>
  <c r="O7" i="53"/>
  <c r="M11" i="54"/>
  <c r="L12" i="2"/>
  <c r="Z13" i="11"/>
  <c r="K21" i="53" s="1"/>
  <c r="M12" i="7"/>
  <c r="M5" i="7"/>
  <c r="K5" i="2"/>
  <c r="AE17" i="11"/>
  <c r="O18" i="53"/>
  <c r="N9" i="54"/>
  <c r="M8" i="11"/>
  <c r="Q3" i="53"/>
  <c r="K6" i="11"/>
  <c r="O9" i="53"/>
  <c r="T10" i="11"/>
  <c r="AB5" i="53"/>
  <c r="J2" i="11"/>
  <c r="N11" i="53"/>
  <c r="AX22" i="11"/>
  <c r="N34" i="53"/>
  <c r="J21" i="54"/>
  <c r="M4" i="2"/>
  <c r="N4" i="7"/>
  <c r="N2" i="2"/>
  <c r="P2" i="7"/>
  <c r="L10" i="2"/>
  <c r="N10" i="7"/>
  <c r="M7" i="2"/>
  <c r="O7" i="7"/>
  <c r="L13" i="2"/>
  <c r="AA14" i="11"/>
  <c r="L22" i="53" s="1"/>
  <c r="M13" i="7"/>
  <c r="N3" i="2"/>
  <c r="O3" i="7"/>
  <c r="BN16" i="4"/>
  <c r="F16" i="43" s="1"/>
  <c r="BN13" i="4"/>
  <c r="F13" i="43" s="1"/>
  <c r="BN18" i="4"/>
  <c r="F18" i="43" s="1"/>
  <c r="BN20" i="4"/>
  <c r="F20" i="43" s="1"/>
  <c r="BN22" i="4"/>
  <c r="F22" i="43" s="1"/>
  <c r="BN7" i="4"/>
  <c r="F7" i="43" s="1"/>
  <c r="BN3" i="4"/>
  <c r="BN6" i="4"/>
  <c r="F6" i="43" s="1"/>
  <c r="BN29" i="4"/>
  <c r="F29" i="43" s="1"/>
  <c r="BN9" i="4"/>
  <c r="BN27" i="4"/>
  <c r="F27" i="43" s="1"/>
  <c r="BN23" i="4"/>
  <c r="F23" i="43" s="1"/>
  <c r="BN21" i="4"/>
  <c r="F21" i="43" s="1"/>
  <c r="BN19" i="4"/>
  <c r="F19" i="43" s="1"/>
  <c r="BN5" i="4"/>
  <c r="F5" i="43" s="1"/>
  <c r="BN14" i="4"/>
  <c r="F14" i="43" s="1"/>
  <c r="BN8" i="4"/>
  <c r="BN12" i="4"/>
  <c r="F12" i="43" s="1"/>
  <c r="BN26" i="4"/>
  <c r="BN15" i="4"/>
  <c r="F15" i="43" s="1"/>
  <c r="BN44" i="4"/>
  <c r="BN11" i="4"/>
  <c r="F11" i="43" s="1"/>
  <c r="BN17" i="4"/>
  <c r="F17" i="43" s="1"/>
  <c r="BN10" i="4"/>
  <c r="F10" i="43" s="1"/>
  <c r="BN28" i="4"/>
  <c r="F28" i="43" s="1"/>
  <c r="K8" i="2"/>
  <c r="M8" i="7"/>
  <c r="K9" i="7"/>
  <c r="K9" i="2"/>
  <c r="AB20" i="54" l="1"/>
  <c r="BX53" i="4"/>
  <c r="F4" i="43"/>
  <c r="F9" i="43"/>
  <c r="F26" i="43"/>
  <c r="F25" i="43"/>
  <c r="F8" i="43"/>
  <c r="F38" i="43"/>
  <c r="O18" i="54"/>
  <c r="L22" i="54"/>
  <c r="BO42" i="4"/>
  <c r="F36" i="43"/>
  <c r="BO31" i="4"/>
  <c r="F31" i="43"/>
  <c r="BO38" i="4"/>
  <c r="F34" i="43"/>
  <c r="F39" i="43"/>
  <c r="BO30" i="4"/>
  <c r="F30" i="43"/>
  <c r="F35" i="43"/>
  <c r="BO34" i="4"/>
  <c r="BO33" i="4"/>
  <c r="F32" i="43"/>
  <c r="BO35" i="4"/>
  <c r="F33" i="43"/>
  <c r="BO24" i="4"/>
  <c r="F24" i="43"/>
  <c r="BO37" i="4"/>
  <c r="F37" i="43"/>
  <c r="O6" i="54"/>
  <c r="AB5" i="54"/>
  <c r="O9" i="54"/>
  <c r="AC3" i="54"/>
  <c r="Q3" i="54"/>
  <c r="O7" i="54"/>
  <c r="AA26" i="54"/>
  <c r="M19" i="54"/>
  <c r="X12" i="11"/>
  <c r="I27" i="53" s="1"/>
  <c r="I27" i="54" s="1"/>
  <c r="L11" i="2"/>
  <c r="M11" i="7"/>
  <c r="AF4" i="54"/>
  <c r="AG4" i="53"/>
  <c r="AG4" i="54" s="1"/>
  <c r="BO25" i="4"/>
  <c r="AW23" i="11"/>
  <c r="M33" i="53"/>
  <c r="M33" i="54" s="1"/>
  <c r="AY22" i="11"/>
  <c r="O34" i="53"/>
  <c r="U10" i="11"/>
  <c r="AC5" i="53"/>
  <c r="L3" i="11"/>
  <c r="Q7" i="53" s="1"/>
  <c r="P7" i="53"/>
  <c r="AF16" i="11"/>
  <c r="P20" i="53"/>
  <c r="AQ20" i="11"/>
  <c r="AE19" i="53"/>
  <c r="AO19" i="11"/>
  <c r="AC20" i="53"/>
  <c r="AE22" i="54"/>
  <c r="N11" i="54"/>
  <c r="N8" i="11"/>
  <c r="R3" i="53"/>
  <c r="K21" i="54"/>
  <c r="O8" i="54"/>
  <c r="V11" i="11"/>
  <c r="AD3" i="53"/>
  <c r="L4" i="11"/>
  <c r="Q6" i="53" s="1"/>
  <c r="P6" i="53"/>
  <c r="AR21" i="11"/>
  <c r="AF22" i="53"/>
  <c r="K2" i="11"/>
  <c r="P11" i="53" s="1"/>
  <c r="O11" i="53"/>
  <c r="AF17" i="11"/>
  <c r="P18" i="53"/>
  <c r="AA13" i="11"/>
  <c r="L21" i="53" s="1"/>
  <c r="N12" i="7"/>
  <c r="M12" i="2"/>
  <c r="L5" i="11"/>
  <c r="P8" i="53"/>
  <c r="AD15" i="11"/>
  <c r="N19" i="53"/>
  <c r="AG9" i="54"/>
  <c r="L6" i="11"/>
  <c r="P9" i="53"/>
  <c r="L5" i="2"/>
  <c r="N5" i="7"/>
  <c r="O20" i="54"/>
  <c r="AD19" i="54"/>
  <c r="N7" i="11"/>
  <c r="W10" i="53" s="1"/>
  <c r="R5" i="53"/>
  <c r="AN18" i="11"/>
  <c r="AB26" i="53"/>
  <c r="BO15" i="4"/>
  <c r="BO23" i="4"/>
  <c r="BO20" i="4"/>
  <c r="M13" i="2"/>
  <c r="N13" i="7"/>
  <c r="AB14" i="11"/>
  <c r="M22" i="53" s="1"/>
  <c r="BO11" i="4"/>
  <c r="BO5" i="4"/>
  <c r="BO27" i="4"/>
  <c r="BO3" i="4"/>
  <c r="BO18" i="4"/>
  <c r="O3" i="2"/>
  <c r="P3" i="7"/>
  <c r="O2" i="2"/>
  <c r="Q2" i="7"/>
  <c r="L8" i="2"/>
  <c r="N8" i="7"/>
  <c r="BO28" i="4"/>
  <c r="BO44" i="4"/>
  <c r="BO12" i="4"/>
  <c r="BO19" i="4"/>
  <c r="BO9" i="4"/>
  <c r="BO7" i="4"/>
  <c r="N7" i="2"/>
  <c r="P7" i="7"/>
  <c r="L9" i="2"/>
  <c r="L9" i="7"/>
  <c r="BO17" i="4"/>
  <c r="BO14" i="4"/>
  <c r="BO6" i="4"/>
  <c r="BO26" i="4"/>
  <c r="BO13" i="4"/>
  <c r="BO10" i="4"/>
  <c r="BO4" i="4"/>
  <c r="F3" i="43"/>
  <c r="BO8" i="4"/>
  <c r="BO21" i="4"/>
  <c r="BO29" i="4"/>
  <c r="BO22" i="4"/>
  <c r="BO16" i="4"/>
  <c r="O10" i="7"/>
  <c r="M10" i="2"/>
  <c r="O4" i="7"/>
  <c r="N4" i="2"/>
  <c r="AC20" i="54" l="1"/>
  <c r="M22" i="54"/>
  <c r="P18" i="54"/>
  <c r="P9" i="54"/>
  <c r="P6" i="54"/>
  <c r="Q6" i="54" s="1"/>
  <c r="R6" i="54" s="1"/>
  <c r="AC5" i="54"/>
  <c r="L21" i="54"/>
  <c r="AD3" i="54"/>
  <c r="P7" i="54"/>
  <c r="Q7" i="54" s="1"/>
  <c r="R7" i="54" s="1"/>
  <c r="AB26" i="54"/>
  <c r="AF22" i="54"/>
  <c r="N11" i="7"/>
  <c r="M11" i="2"/>
  <c r="Y12" i="11"/>
  <c r="J27" i="53" s="1"/>
  <c r="J27" i="54" s="1"/>
  <c r="N33" i="53"/>
  <c r="N33" i="54" s="1"/>
  <c r="AX23" i="11"/>
  <c r="P8" i="54"/>
  <c r="O11" i="54"/>
  <c r="P11" i="54" s="1"/>
  <c r="Q11" i="54" s="1"/>
  <c r="R11" i="54" s="1"/>
  <c r="O7" i="11"/>
  <c r="X10" i="53" s="1"/>
  <c r="O5" i="7"/>
  <c r="M5" i="2"/>
  <c r="AE15" i="11"/>
  <c r="O19" i="53"/>
  <c r="R3" i="54"/>
  <c r="S3" i="53"/>
  <c r="S11" i="53"/>
  <c r="AE19" i="54"/>
  <c r="AO18" i="11"/>
  <c r="AC26" i="53"/>
  <c r="S6" i="53"/>
  <c r="O8" i="11"/>
  <c r="W6" i="53"/>
  <c r="AR20" i="11"/>
  <c r="AF19" i="53"/>
  <c r="S7" i="53"/>
  <c r="AZ22" i="11"/>
  <c r="P34" i="53"/>
  <c r="M5" i="11"/>
  <c r="R8" i="53" s="1"/>
  <c r="Q8" i="53"/>
  <c r="AP19" i="11"/>
  <c r="AD20" i="53"/>
  <c r="AD20" i="54" s="1"/>
  <c r="P20" i="54"/>
  <c r="R5" i="54"/>
  <c r="S5" i="53"/>
  <c r="M6" i="11"/>
  <c r="Q9" i="53"/>
  <c r="N19" i="54"/>
  <c r="O12" i="7"/>
  <c r="N12" i="2"/>
  <c r="AB13" i="11"/>
  <c r="M21" i="53" s="1"/>
  <c r="AG17" i="11"/>
  <c r="Q18" i="53"/>
  <c r="AS21" i="11"/>
  <c r="I36" i="53"/>
  <c r="W11" i="11"/>
  <c r="AE3" i="53"/>
  <c r="AG22" i="53"/>
  <c r="AG16" i="11"/>
  <c r="Q20" i="53"/>
  <c r="V10" i="11"/>
  <c r="AD5" i="53"/>
  <c r="O4" i="2"/>
  <c r="P4" i="7"/>
  <c r="Q3" i="7"/>
  <c r="P3" i="2"/>
  <c r="Q7" i="7"/>
  <c r="O7" i="2"/>
  <c r="O8" i="7"/>
  <c r="M8" i="2"/>
  <c r="N13" i="2"/>
  <c r="AC14" i="11"/>
  <c r="N22" i="53" s="1"/>
  <c r="O13" i="7"/>
  <c r="P10" i="7"/>
  <c r="N10" i="2"/>
  <c r="M9" i="2"/>
  <c r="M9" i="7"/>
  <c r="R2" i="7"/>
  <c r="P2" i="2"/>
  <c r="Q18" i="54" l="1"/>
  <c r="Q9" i="54"/>
  <c r="M21" i="54"/>
  <c r="AD5" i="54"/>
  <c r="AE3" i="54"/>
  <c r="Q34" i="53"/>
  <c r="BA22" i="11"/>
  <c r="AC26" i="54"/>
  <c r="Q20" i="54"/>
  <c r="N11" i="2"/>
  <c r="O11" i="7"/>
  <c r="Z12" i="11"/>
  <c r="K27" i="53" s="1"/>
  <c r="K27" i="54" s="1"/>
  <c r="Q8" i="54"/>
  <c r="R8" i="54" s="1"/>
  <c r="AY23" i="11"/>
  <c r="O33" i="53"/>
  <c r="AG22" i="54"/>
  <c r="AT21" i="11"/>
  <c r="K36" i="53" s="1"/>
  <c r="J36" i="53"/>
  <c r="O12" i="2"/>
  <c r="P12" i="7"/>
  <c r="AC13" i="11"/>
  <c r="N21" i="53" s="1"/>
  <c r="AQ19" i="11"/>
  <c r="AE20" i="53"/>
  <c r="AE20" i="54" s="1"/>
  <c r="AS20" i="11"/>
  <c r="I35" i="53"/>
  <c r="AP18" i="11"/>
  <c r="AE26" i="53" s="1"/>
  <c r="AD26" i="53"/>
  <c r="P5" i="7"/>
  <c r="N5" i="2"/>
  <c r="W10" i="11"/>
  <c r="AE5" i="53"/>
  <c r="S7" i="54"/>
  <c r="W6" i="54"/>
  <c r="O19" i="54"/>
  <c r="N22" i="54"/>
  <c r="X11" i="11"/>
  <c r="AF3" i="53"/>
  <c r="P8" i="11"/>
  <c r="X6" i="53"/>
  <c r="S11" i="54"/>
  <c r="AF15" i="11"/>
  <c r="P19" i="53"/>
  <c r="W10" i="54"/>
  <c r="X10" i="54" s="1"/>
  <c r="AH17" i="11"/>
  <c r="R18" i="53"/>
  <c r="N6" i="11"/>
  <c r="R9" i="53"/>
  <c r="S8" i="53"/>
  <c r="AH16" i="11"/>
  <c r="W27" i="53" s="1"/>
  <c r="R20" i="53"/>
  <c r="I36" i="54"/>
  <c r="S5" i="54"/>
  <c r="AF19" i="54"/>
  <c r="AG19" i="53"/>
  <c r="S6" i="54"/>
  <c r="S3" i="54"/>
  <c r="P7" i="11"/>
  <c r="Y10" i="53" s="1"/>
  <c r="N8" i="2"/>
  <c r="P8" i="7"/>
  <c r="R3" i="7"/>
  <c r="Q3" i="2"/>
  <c r="N9" i="7"/>
  <c r="N9" i="2"/>
  <c r="S2" i="7"/>
  <c r="Q2" i="2"/>
  <c r="R7" i="7"/>
  <c r="P7" i="2"/>
  <c r="O10" i="2"/>
  <c r="Q10" i="7"/>
  <c r="AD14" i="11"/>
  <c r="O22" i="53" s="1"/>
  <c r="P13" i="7"/>
  <c r="O13" i="2"/>
  <c r="P4" i="2"/>
  <c r="R4" i="7" s="1"/>
  <c r="Q4" i="7"/>
  <c r="AE5" i="54" l="1"/>
  <c r="R34" i="53"/>
  <c r="S34" i="53" s="1"/>
  <c r="BB22" i="11"/>
  <c r="BC22" i="11" s="1"/>
  <c r="BD22" i="11" s="1"/>
  <c r="BE22" i="11" s="1"/>
  <c r="I34" i="54"/>
  <c r="I35" i="54"/>
  <c r="S3" i="7"/>
  <c r="R3" i="2"/>
  <c r="AD26" i="54"/>
  <c r="AE26" i="54" s="1"/>
  <c r="AF26" i="54" s="1"/>
  <c r="O11" i="2"/>
  <c r="AA12" i="11"/>
  <c r="L27" i="53" s="1"/>
  <c r="L27" i="54" s="1"/>
  <c r="P11" i="7"/>
  <c r="S36" i="53"/>
  <c r="S36" i="54" s="1"/>
  <c r="X6" i="54"/>
  <c r="O33" i="54"/>
  <c r="AZ23" i="11"/>
  <c r="P33" i="53"/>
  <c r="O22" i="54"/>
  <c r="AI17" i="11"/>
  <c r="W25" i="53"/>
  <c r="AG15" i="11"/>
  <c r="Q19" i="53"/>
  <c r="Y11" i="11"/>
  <c r="I23" i="53"/>
  <c r="AT20" i="11"/>
  <c r="J35" i="53"/>
  <c r="AR19" i="11"/>
  <c r="AF20" i="53"/>
  <c r="J36" i="54"/>
  <c r="K36" i="54" s="1"/>
  <c r="L36" i="54" s="1"/>
  <c r="M36" i="54" s="1"/>
  <c r="N36" i="54" s="1"/>
  <c r="O36" i="54" s="1"/>
  <c r="P36" i="54" s="1"/>
  <c r="Q36" i="54" s="1"/>
  <c r="R36" i="54" s="1"/>
  <c r="R20" i="54"/>
  <c r="S20" i="53"/>
  <c r="R9" i="54"/>
  <c r="S9" i="53"/>
  <c r="N21" i="54"/>
  <c r="O6" i="11"/>
  <c r="W14" i="53"/>
  <c r="AG26" i="53"/>
  <c r="W27" i="54"/>
  <c r="X27" i="54" s="1"/>
  <c r="Y27" i="54" s="1"/>
  <c r="Z27" i="54" s="1"/>
  <c r="AA27" i="54" s="1"/>
  <c r="AB27" i="54" s="1"/>
  <c r="AC27" i="54" s="1"/>
  <c r="AD27" i="54" s="1"/>
  <c r="AE27" i="54" s="1"/>
  <c r="AF27" i="54" s="1"/>
  <c r="AG27" i="53"/>
  <c r="Q8" i="11"/>
  <c r="Y6" i="53"/>
  <c r="X10" i="11"/>
  <c r="AF5" i="53"/>
  <c r="Q7" i="11"/>
  <c r="Z10" i="53" s="1"/>
  <c r="Y10" i="54"/>
  <c r="AG19" i="54"/>
  <c r="S8" i="54"/>
  <c r="R18" i="54"/>
  <c r="S18" i="53"/>
  <c r="P19" i="54"/>
  <c r="AF3" i="54"/>
  <c r="AG3" i="53"/>
  <c r="Q5" i="7"/>
  <c r="O5" i="2"/>
  <c r="AD13" i="11"/>
  <c r="O21" i="53" s="1"/>
  <c r="Q12" i="7"/>
  <c r="R2" i="2"/>
  <c r="T2" i="7"/>
  <c r="P13" i="2"/>
  <c r="AE14" i="11"/>
  <c r="P22" i="53" s="1"/>
  <c r="Q13" i="7"/>
  <c r="P10" i="2"/>
  <c r="R10" i="7"/>
  <c r="O9" i="2"/>
  <c r="O9" i="7"/>
  <c r="Q7" i="2"/>
  <c r="S7" i="7"/>
  <c r="O8" i="2"/>
  <c r="Q8" i="7"/>
  <c r="T3" i="7" l="1"/>
  <c r="S3" i="2"/>
  <c r="U3" i="7" s="1"/>
  <c r="J35" i="54"/>
  <c r="R5" i="7"/>
  <c r="P5" i="2"/>
  <c r="Q33" i="53"/>
  <c r="BA23" i="11"/>
  <c r="P22" i="54"/>
  <c r="Y6" i="54"/>
  <c r="O21" i="54"/>
  <c r="P21" i="54" s="1"/>
  <c r="Q21" i="54" s="1"/>
  <c r="R21" i="54" s="1"/>
  <c r="P33" i="54"/>
  <c r="P11" i="2"/>
  <c r="AB12" i="11"/>
  <c r="M27" i="53" s="1"/>
  <c r="M27" i="54" s="1"/>
  <c r="Q11" i="7"/>
  <c r="AG3" i="54"/>
  <c r="G12" i="53"/>
  <c r="G12" i="54" s="1"/>
  <c r="G3" i="53"/>
  <c r="G3" i="54" s="1"/>
  <c r="G10" i="53"/>
  <c r="G10" i="54" s="1"/>
  <c r="G7" i="53"/>
  <c r="G7" i="54" s="1"/>
  <c r="G11" i="53"/>
  <c r="G11" i="54" s="1"/>
  <c r="G5" i="53"/>
  <c r="G5" i="54" s="1"/>
  <c r="G6" i="53"/>
  <c r="G6" i="54" s="1"/>
  <c r="G4" i="53"/>
  <c r="G4" i="54" s="1"/>
  <c r="S18" i="54"/>
  <c r="R7" i="11"/>
  <c r="AA10" i="53" s="1"/>
  <c r="R8" i="11"/>
  <c r="Z6" i="53"/>
  <c r="S21" i="53"/>
  <c r="AF20" i="54"/>
  <c r="AG20" i="53"/>
  <c r="W25" i="54"/>
  <c r="AF5" i="54"/>
  <c r="AG5" i="53"/>
  <c r="AG27" i="54"/>
  <c r="W14" i="54"/>
  <c r="S20" i="54"/>
  <c r="AS19" i="11"/>
  <c r="I37" i="53"/>
  <c r="AJ17" i="11"/>
  <c r="Y25" i="53" s="1"/>
  <c r="X25" i="53"/>
  <c r="P6" i="11"/>
  <c r="X14" i="53"/>
  <c r="J34" i="54"/>
  <c r="I23" i="54"/>
  <c r="Q19" i="54"/>
  <c r="Y10" i="11"/>
  <c r="I24" i="53"/>
  <c r="G8" i="53"/>
  <c r="G8" i="54" s="1"/>
  <c r="AG26" i="54"/>
  <c r="S9" i="54"/>
  <c r="G9" i="53"/>
  <c r="G9" i="54" s="1"/>
  <c r="AU20" i="11"/>
  <c r="K35" i="53"/>
  <c r="Z11" i="11"/>
  <c r="J23" i="53"/>
  <c r="AH15" i="11"/>
  <c r="R19" i="53"/>
  <c r="P8" i="2"/>
  <c r="R8" i="7"/>
  <c r="P9" i="2"/>
  <c r="P9" i="7"/>
  <c r="Q13" i="2"/>
  <c r="R13" i="7"/>
  <c r="AF14" i="11"/>
  <c r="Q22" i="53" s="1"/>
  <c r="R7" i="2"/>
  <c r="T7" i="7"/>
  <c r="S10" i="7"/>
  <c r="Q10" i="2"/>
  <c r="T10" i="7" s="1"/>
  <c r="S2" i="2"/>
  <c r="U2" i="7"/>
  <c r="K35" i="54" l="1"/>
  <c r="R33" i="53"/>
  <c r="S33" i="53" s="1"/>
  <c r="S33" i="54" s="1"/>
  <c r="BB23" i="11"/>
  <c r="BC23" i="11" s="1"/>
  <c r="BD23" i="11" s="1"/>
  <c r="BE23" i="11" s="1"/>
  <c r="S5" i="7"/>
  <c r="Q5" i="2"/>
  <c r="T5" i="7" s="1"/>
  <c r="Q33" i="54"/>
  <c r="Q22" i="54"/>
  <c r="Z6" i="54"/>
  <c r="R11" i="7"/>
  <c r="AC12" i="11"/>
  <c r="N27" i="53" s="1"/>
  <c r="N27" i="54" s="1"/>
  <c r="Q11" i="2"/>
  <c r="J23" i="54"/>
  <c r="X25" i="54"/>
  <c r="Y25" i="54" s="1"/>
  <c r="Z25" i="54" s="1"/>
  <c r="AA25" i="54" s="1"/>
  <c r="AB25" i="54" s="1"/>
  <c r="AC25" i="54" s="1"/>
  <c r="AD25" i="54" s="1"/>
  <c r="AE25" i="54" s="1"/>
  <c r="AF25" i="54" s="1"/>
  <c r="X14" i="54"/>
  <c r="K34" i="54"/>
  <c r="AT19" i="11"/>
  <c r="J37" i="53"/>
  <c r="AA11" i="11"/>
  <c r="K23" i="53"/>
  <c r="I24" i="54"/>
  <c r="Q6" i="11"/>
  <c r="Z14" i="53" s="1"/>
  <c r="Y14" i="53"/>
  <c r="AG25" i="53"/>
  <c r="AG20" i="54"/>
  <c r="S8" i="11"/>
  <c r="AA6" i="53"/>
  <c r="R19" i="54"/>
  <c r="S19" i="53"/>
  <c r="Z10" i="54"/>
  <c r="Z10" i="11"/>
  <c r="K24" i="53" s="1"/>
  <c r="J24" i="53"/>
  <c r="AI15" i="11"/>
  <c r="W23" i="53"/>
  <c r="AV20" i="11"/>
  <c r="L35" i="53"/>
  <c r="I37" i="54"/>
  <c r="AG5" i="54"/>
  <c r="S21" i="54"/>
  <c r="S7" i="11"/>
  <c r="AB10" i="53" s="1"/>
  <c r="V2" i="7"/>
  <c r="T2" i="2"/>
  <c r="AG14" i="11"/>
  <c r="R22" i="53" s="1"/>
  <c r="S13" i="7"/>
  <c r="Q9" i="2"/>
  <c r="Q9" i="7"/>
  <c r="S7" i="2"/>
  <c r="U7" i="7"/>
  <c r="Q8" i="2"/>
  <c r="S8" i="7"/>
  <c r="L35" i="54" l="1"/>
  <c r="R33" i="54"/>
  <c r="Y14" i="54"/>
  <c r="Z14" i="54" s="1"/>
  <c r="AA14" i="54" s="1"/>
  <c r="AB14" i="54" s="1"/>
  <c r="AC14" i="54" s="1"/>
  <c r="AD14" i="54" s="1"/>
  <c r="AE14" i="54" s="1"/>
  <c r="AF14" i="54" s="1"/>
  <c r="K23" i="54"/>
  <c r="L34" i="54"/>
  <c r="S11" i="7"/>
  <c r="AD12" i="11"/>
  <c r="O27" i="53" s="1"/>
  <c r="AA10" i="54"/>
  <c r="J24" i="54"/>
  <c r="K24" i="54" s="1"/>
  <c r="L24" i="54" s="1"/>
  <c r="M24" i="54" s="1"/>
  <c r="N24" i="54" s="1"/>
  <c r="O24" i="54" s="1"/>
  <c r="P24" i="54" s="1"/>
  <c r="Q24" i="54" s="1"/>
  <c r="R24" i="54" s="1"/>
  <c r="AW20" i="11"/>
  <c r="M35" i="53"/>
  <c r="AB11" i="11"/>
  <c r="M23" i="53" s="1"/>
  <c r="L23" i="53"/>
  <c r="AA6" i="54"/>
  <c r="S24" i="53"/>
  <c r="J37" i="54"/>
  <c r="T7" i="11"/>
  <c r="AC10" i="53" s="1"/>
  <c r="AU19" i="11"/>
  <c r="K37" i="53"/>
  <c r="W23" i="54"/>
  <c r="S19" i="54"/>
  <c r="T8" i="11"/>
  <c r="AB6" i="53"/>
  <c r="R22" i="54"/>
  <c r="S22" i="53"/>
  <c r="AG14" i="53"/>
  <c r="AJ15" i="11"/>
  <c r="X23" i="53"/>
  <c r="AG25" i="54"/>
  <c r="V7" i="7"/>
  <c r="T7" i="2"/>
  <c r="W2" i="7"/>
  <c r="U2" i="2"/>
  <c r="T8" i="7"/>
  <c r="R8" i="2"/>
  <c r="U8" i="7" s="1"/>
  <c r="R9" i="7"/>
  <c r="R9" i="2"/>
  <c r="M35" i="54" l="1"/>
  <c r="X2" i="7"/>
  <c r="V2" i="2"/>
  <c r="X23" i="54"/>
  <c r="M34" i="54"/>
  <c r="AB10" i="54"/>
  <c r="S27" i="53"/>
  <c r="S27" i="54" s="1"/>
  <c r="O27" i="54"/>
  <c r="P27" i="54" s="1"/>
  <c r="Q27" i="54" s="1"/>
  <c r="R27" i="54" s="1"/>
  <c r="AB6" i="54"/>
  <c r="S22" i="54"/>
  <c r="U7" i="11"/>
  <c r="AD10" i="53" s="1"/>
  <c r="AK15" i="11"/>
  <c r="Y23" i="53"/>
  <c r="K37" i="54"/>
  <c r="AV19" i="11"/>
  <c r="L37" i="53"/>
  <c r="S24" i="54"/>
  <c r="AG14" i="54"/>
  <c r="U8" i="11"/>
  <c r="AC6" i="53"/>
  <c r="L23" i="54"/>
  <c r="M23" i="54" s="1"/>
  <c r="N23" i="54" s="1"/>
  <c r="O23" i="54" s="1"/>
  <c r="P23" i="54" s="1"/>
  <c r="Q23" i="54" s="1"/>
  <c r="R23" i="54" s="1"/>
  <c r="S23" i="53"/>
  <c r="AX20" i="11"/>
  <c r="N35" i="53"/>
  <c r="S9" i="2"/>
  <c r="S9" i="7"/>
  <c r="U7" i="2"/>
  <c r="W7" i="7"/>
  <c r="N35" i="54" l="1"/>
  <c r="Y2" i="7"/>
  <c r="W2" i="2"/>
  <c r="Z2" i="7" s="1"/>
  <c r="Y23" i="54"/>
  <c r="AC6" i="54"/>
  <c r="L37" i="54"/>
  <c r="N34" i="54"/>
  <c r="AW19" i="11"/>
  <c r="M37" i="53"/>
  <c r="AL15" i="11"/>
  <c r="Z23" i="53"/>
  <c r="AC10" i="54"/>
  <c r="AY20" i="11"/>
  <c r="O35" i="53"/>
  <c r="O35" i="54" s="1"/>
  <c r="V8" i="11"/>
  <c r="AD6" i="53"/>
  <c r="V7" i="11"/>
  <c r="AE10" i="53" s="1"/>
  <c r="S23" i="54"/>
  <c r="X7" i="7"/>
  <c r="V7" i="2"/>
  <c r="T9" i="2"/>
  <c r="T9" i="7"/>
  <c r="Z23" i="54" l="1"/>
  <c r="AD6" i="54"/>
  <c r="M37" i="54"/>
  <c r="AD10" i="54"/>
  <c r="O34" i="54"/>
  <c r="W7" i="11"/>
  <c r="AF10" i="53" s="1"/>
  <c r="AG10" i="53" s="1"/>
  <c r="AZ20" i="11"/>
  <c r="P35" i="53"/>
  <c r="P35" i="54" s="1"/>
  <c r="AM15" i="11"/>
  <c r="AA23" i="53"/>
  <c r="W8" i="11"/>
  <c r="AE6" i="53"/>
  <c r="AX19" i="11"/>
  <c r="O37" i="53" s="1"/>
  <c r="N37" i="53"/>
  <c r="U9" i="2"/>
  <c r="U9" i="7"/>
  <c r="W7" i="2"/>
  <c r="Y7" i="7"/>
  <c r="AA23" i="54" l="1"/>
  <c r="AE6" i="54"/>
  <c r="Q35" i="53"/>
  <c r="Q35" i="54" s="1"/>
  <c r="BA20" i="11"/>
  <c r="AE10" i="54"/>
  <c r="AF10" i="54" s="1"/>
  <c r="P34" i="54"/>
  <c r="Q34" i="54" s="1"/>
  <c r="N37" i="54"/>
  <c r="O37" i="54" s="1"/>
  <c r="P37" i="54" s="1"/>
  <c r="Q37" i="54" s="1"/>
  <c r="R37" i="54" s="1"/>
  <c r="S37" i="53"/>
  <c r="AN15" i="11"/>
  <c r="AC23" i="53" s="1"/>
  <c r="AB23" i="53"/>
  <c r="X8" i="11"/>
  <c r="AF6" i="53"/>
  <c r="X7" i="2"/>
  <c r="AA7" i="7" s="1"/>
  <c r="Z7" i="7"/>
  <c r="V9" i="7"/>
  <c r="V9" i="2"/>
  <c r="W9" i="7" s="1"/>
  <c r="AB23" i="54" l="1"/>
  <c r="AC23" i="54" s="1"/>
  <c r="AD23" i="54" s="1"/>
  <c r="AE23" i="54" s="1"/>
  <c r="AF23" i="54" s="1"/>
  <c r="R35" i="53"/>
  <c r="R35" i="54" s="1"/>
  <c r="BB20" i="11"/>
  <c r="BC20" i="11" s="1"/>
  <c r="R34" i="54"/>
  <c r="AG23" i="53"/>
  <c r="AG10" i="54"/>
  <c r="AF6" i="54"/>
  <c r="AG6" i="53"/>
  <c r="Y8" i="11"/>
  <c r="I25" i="53"/>
  <c r="S37" i="54"/>
  <c r="S34" i="54"/>
  <c r="S35" i="53" l="1"/>
  <c r="G37" i="53" s="1"/>
  <c r="G37" i="54" s="1"/>
  <c r="G33" i="53"/>
  <c r="G33" i="54" s="1"/>
  <c r="U10" i="53"/>
  <c r="U10" i="54" s="1"/>
  <c r="U9" i="53"/>
  <c r="U9" i="54" s="1"/>
  <c r="I25" i="54"/>
  <c r="Z8" i="11"/>
  <c r="K25" i="53" s="1"/>
  <c r="J25" i="53"/>
  <c r="AG6" i="54"/>
  <c r="U6" i="53"/>
  <c r="U6" i="54" s="1"/>
  <c r="U3" i="53"/>
  <c r="U3" i="54" s="1"/>
  <c r="U7" i="53"/>
  <c r="U7" i="54" s="1"/>
  <c r="U13" i="53"/>
  <c r="U13" i="54" s="1"/>
  <c r="U4" i="53"/>
  <c r="U4" i="54" s="1"/>
  <c r="U12" i="53"/>
  <c r="U12" i="54" s="1"/>
  <c r="U11" i="53"/>
  <c r="U11" i="54" s="1"/>
  <c r="U5" i="53"/>
  <c r="U5" i="54" s="1"/>
  <c r="U8" i="53"/>
  <c r="U8" i="54" s="1"/>
  <c r="U14" i="53"/>
  <c r="U14" i="54" s="1"/>
  <c r="AG23" i="54"/>
  <c r="U23" i="53"/>
  <c r="U23" i="54" s="1"/>
  <c r="U26" i="53"/>
  <c r="U26" i="54" s="1"/>
  <c r="U27" i="53"/>
  <c r="U27" i="54" s="1"/>
  <c r="U24" i="53"/>
  <c r="U24" i="54" s="1"/>
  <c r="U20" i="53"/>
  <c r="U20" i="54" s="1"/>
  <c r="U21" i="53"/>
  <c r="U21" i="54" s="1"/>
  <c r="U22" i="53"/>
  <c r="U22" i="54" s="1"/>
  <c r="U19" i="53"/>
  <c r="U19" i="54" s="1"/>
  <c r="U25" i="53"/>
  <c r="U25" i="54" s="1"/>
  <c r="G34" i="53" l="1"/>
  <c r="G34" i="54" s="1"/>
  <c r="G35" i="53"/>
  <c r="G35" i="54" s="1"/>
  <c r="G36" i="53"/>
  <c r="G36" i="54" s="1"/>
  <c r="S35" i="54"/>
  <c r="J25" i="54"/>
  <c r="K25" i="54" s="1"/>
  <c r="L25" i="54" s="1"/>
  <c r="M25" i="54" s="1"/>
  <c r="N25" i="54" s="1"/>
  <c r="O25" i="54" s="1"/>
  <c r="P25" i="54" s="1"/>
  <c r="Q25" i="54" s="1"/>
  <c r="R25" i="54" s="1"/>
  <c r="S25" i="53"/>
  <c r="S25" i="54" s="1"/>
  <c r="G26" i="53" l="1"/>
  <c r="G26" i="54" s="1"/>
  <c r="G29" i="53"/>
  <c r="G29" i="54" s="1"/>
  <c r="G20" i="53"/>
  <c r="G20" i="54" s="1"/>
  <c r="G18" i="53"/>
  <c r="G18" i="54" s="1"/>
  <c r="G21" i="53"/>
  <c r="G21" i="54" s="1"/>
  <c r="G23" i="53"/>
  <c r="G23" i="54" s="1"/>
  <c r="G28" i="53"/>
  <c r="G28" i="54" s="1"/>
  <c r="G27" i="53"/>
  <c r="G27" i="54" s="1"/>
  <c r="G22" i="53"/>
  <c r="G22" i="54" s="1"/>
  <c r="G19" i="53"/>
  <c r="G19" i="54" s="1"/>
  <c r="G24" i="53"/>
  <c r="G24" i="54" s="1"/>
  <c r="G25" i="53"/>
  <c r="G25" i="54" s="1"/>
</calcChain>
</file>

<file path=xl/sharedStrings.xml><?xml version="1.0" encoding="utf-8"?>
<sst xmlns="http://schemas.openxmlformats.org/spreadsheetml/2006/main" count="867" uniqueCount="276">
  <si>
    <t>Roger Federer</t>
  </si>
  <si>
    <t>Grand Slams</t>
  </si>
  <si>
    <t>Australian</t>
  </si>
  <si>
    <t>French</t>
  </si>
  <si>
    <t>Wimbledon</t>
  </si>
  <si>
    <t>US Open</t>
  </si>
  <si>
    <t>Point system</t>
  </si>
  <si>
    <t>lose points equal to rank when lose</t>
  </si>
  <si>
    <t>receive points equal to 100-rank when win</t>
  </si>
  <si>
    <t>cannot lose or gain more than 99 points</t>
  </si>
  <si>
    <t>Rafael Nadal</t>
  </si>
  <si>
    <t>Federer</t>
  </si>
  <si>
    <t>Nadal</t>
  </si>
  <si>
    <t>Year</t>
  </si>
  <si>
    <t>Tournament</t>
  </si>
  <si>
    <t>Pete Sampras</t>
  </si>
  <si>
    <t>Sampras</t>
  </si>
  <si>
    <t>Djokovic</t>
  </si>
  <si>
    <t>Novak Djokovic</t>
  </si>
  <si>
    <t>Bjorn Borg</t>
  </si>
  <si>
    <t>Borg</t>
  </si>
  <si>
    <t>Rank</t>
  </si>
  <si>
    <t>Player</t>
  </si>
  <si>
    <t>Points</t>
  </si>
  <si>
    <t>Country</t>
  </si>
  <si>
    <t>Start</t>
  </si>
  <si>
    <t>Stop</t>
  </si>
  <si>
    <t>Finals</t>
  </si>
  <si>
    <t>Switzerland</t>
  </si>
  <si>
    <t>Serbia</t>
  </si>
  <si>
    <t>Spain</t>
  </si>
  <si>
    <t>USA</t>
  </si>
  <si>
    <t>Sweden</t>
  </si>
  <si>
    <t>Titles</t>
  </si>
  <si>
    <t>Quarters</t>
  </si>
  <si>
    <t>Semis</t>
  </si>
  <si>
    <t>Draws</t>
  </si>
  <si>
    <t>Years</t>
  </si>
  <si>
    <t>Roger</t>
  </si>
  <si>
    <t>Novak</t>
  </si>
  <si>
    <t>Rafael</t>
  </si>
  <si>
    <t>Pete</t>
  </si>
  <si>
    <t>Bjorn</t>
  </si>
  <si>
    <t>Draw</t>
  </si>
  <si>
    <t>Every</t>
  </si>
  <si>
    <t>Results</t>
  </si>
  <si>
    <t>Era</t>
  </si>
  <si>
    <t>Jimmy Connors</t>
  </si>
  <si>
    <t>Jimmy</t>
  </si>
  <si>
    <t>Connors</t>
  </si>
  <si>
    <t>Average Points</t>
  </si>
  <si>
    <t>Final</t>
  </si>
  <si>
    <t>1-4 Rounds</t>
  </si>
  <si>
    <t>Trips (Hide)</t>
  </si>
  <si>
    <t>Hide</t>
  </si>
  <si>
    <t>Difference</t>
  </si>
  <si>
    <t>Ivan Lendl</t>
  </si>
  <si>
    <t>Lendl</t>
  </si>
  <si>
    <t>Ivan</t>
  </si>
  <si>
    <t>Czechoslovakia</t>
  </si>
  <si>
    <t>Tournament-Draws</t>
  </si>
  <si>
    <t>Points/Draw</t>
  </si>
  <si>
    <t>Andre Agassi</t>
  </si>
  <si>
    <t>Total</t>
  </si>
  <si>
    <t>Andre</t>
  </si>
  <si>
    <t>Agassi</t>
  </si>
  <si>
    <t>Birth</t>
  </si>
  <si>
    <t>Age</t>
  </si>
  <si>
    <t>Start Age</t>
  </si>
  <si>
    <t>John McEnroe</t>
  </si>
  <si>
    <t>McEnroe</t>
  </si>
  <si>
    <t>John</t>
  </si>
  <si>
    <t>Win</t>
  </si>
  <si>
    <t>2nd</t>
  </si>
  <si>
    <t>3rd</t>
  </si>
  <si>
    <t>4th</t>
  </si>
  <si>
    <t>Wins</t>
  </si>
  <si>
    <t>Losses</t>
  </si>
  <si>
    <t>Performance</t>
  </si>
  <si>
    <t>Win %</t>
  </si>
  <si>
    <t>OPP Rank</t>
  </si>
  <si>
    <t>Mats Wilander</t>
  </si>
  <si>
    <t>Wilander</t>
  </si>
  <si>
    <t>Mats</t>
  </si>
  <si>
    <t>Points Breakdown</t>
  </si>
  <si>
    <t>Projected Points</t>
  </si>
  <si>
    <t>Stefan Edberg</t>
  </si>
  <si>
    <t>Edberg</t>
  </si>
  <si>
    <t>Stefan</t>
  </si>
  <si>
    <t>Boris</t>
  </si>
  <si>
    <t>Becker</t>
  </si>
  <si>
    <t>Germany</t>
  </si>
  <si>
    <t>Boris Becker</t>
  </si>
  <si>
    <t>Best</t>
  </si>
  <si>
    <t>Tourney</t>
  </si>
  <si>
    <t>Players in first</t>
  </si>
  <si>
    <t>Name</t>
  </si>
  <si>
    <t>Length</t>
  </si>
  <si>
    <t>Note: All Players Retired as active greatest player except:</t>
  </si>
  <si>
    <t>(Lendl)</t>
  </si>
  <si>
    <t>(Edberg)</t>
  </si>
  <si>
    <t>(Sampras)</t>
  </si>
  <si>
    <t>Guillermo Vilas</t>
  </si>
  <si>
    <t>Note:</t>
  </si>
  <si>
    <t>Players with less than 6 grand slams not included on this page</t>
  </si>
  <si>
    <t>Guillermo</t>
  </si>
  <si>
    <t>Vilas</t>
  </si>
  <si>
    <t>Argentina</t>
  </si>
  <si>
    <t>(Connors)</t>
  </si>
  <si>
    <t>Jim Courier</t>
  </si>
  <si>
    <t>Jim</t>
  </si>
  <si>
    <t>Courier</t>
  </si>
  <si>
    <t>Andy Murray</t>
  </si>
  <si>
    <t>Gustavo Kuerten</t>
  </si>
  <si>
    <t>Stan Wawrinka</t>
  </si>
  <si>
    <t>Ilie Nastase</t>
  </si>
  <si>
    <t>Lleyton Hewitt</t>
  </si>
  <si>
    <t>Stan Smith</t>
  </si>
  <si>
    <t>Andy Roddick</t>
  </si>
  <si>
    <t>Jan Kodes</t>
  </si>
  <si>
    <t>Johan Kriek</t>
  </si>
  <si>
    <t>Sergi Bruguera</t>
  </si>
  <si>
    <t>Yevgeny Kafelnikov</t>
  </si>
  <si>
    <t>Marat Safin</t>
  </si>
  <si>
    <t>Marin Cilic</t>
  </si>
  <si>
    <t>Juan Martin Del Potro</t>
  </si>
  <si>
    <t>Andy</t>
  </si>
  <si>
    <t>Murray</t>
  </si>
  <si>
    <t>UK</t>
  </si>
  <si>
    <t>Draws w/ 16 seeds</t>
  </si>
  <si>
    <t>Draws w/ 32 seeds</t>
  </si>
  <si>
    <t>Adjusted for seeding</t>
  </si>
  <si>
    <t>Adjusted for Seeds</t>
  </si>
  <si>
    <t>Adjusted for 1-4 Rounds</t>
  </si>
  <si>
    <t>Adj for 1-4 Rounds</t>
  </si>
  <si>
    <t>Points Every</t>
  </si>
  <si>
    <t>Gustavo</t>
  </si>
  <si>
    <t>Kuerten</t>
  </si>
  <si>
    <t>Brazil</t>
  </si>
  <si>
    <t>seeds expanded 2001 wimbledon</t>
  </si>
  <si>
    <t>(Federer)</t>
  </si>
  <si>
    <t>Stan</t>
  </si>
  <si>
    <t>Wawrinka</t>
  </si>
  <si>
    <t>Tournament- Rank (Hide)</t>
  </si>
  <si>
    <t>Rod Laver</t>
  </si>
  <si>
    <t>Laver</t>
  </si>
  <si>
    <t>Rod</t>
  </si>
  <si>
    <t>Australia</t>
  </si>
  <si>
    <t>John Newcomb</t>
  </si>
  <si>
    <t>John Newcombe</t>
  </si>
  <si>
    <t>Newcombe</t>
  </si>
  <si>
    <t>Laver*</t>
  </si>
  <si>
    <t>Ken Rosewall</t>
  </si>
  <si>
    <t>Rosewall</t>
  </si>
  <si>
    <t>Ken</t>
  </si>
  <si>
    <t>Newcombe*</t>
  </si>
  <si>
    <t>(Rosewall)</t>
  </si>
  <si>
    <t>Arthur Ashe</t>
  </si>
  <si>
    <t>Ashe</t>
  </si>
  <si>
    <t>Arthur</t>
  </si>
  <si>
    <t>Ashe*</t>
  </si>
  <si>
    <t>Players</t>
  </si>
  <si>
    <t>Leader</t>
  </si>
  <si>
    <t>Jan</t>
  </si>
  <si>
    <t>Kodes</t>
  </si>
  <si>
    <t>Andres Gimeno</t>
  </si>
  <si>
    <t>Manuel Orantes</t>
  </si>
  <si>
    <t>Mark Edmondson</t>
  </si>
  <si>
    <t>Adriano Panatta</t>
  </si>
  <si>
    <t>Roscoe Tanner</t>
  </si>
  <si>
    <t>Vitas Gerulaitis</t>
  </si>
  <si>
    <t>Brian Teacher</t>
  </si>
  <si>
    <t>Yannick Noah</t>
  </si>
  <si>
    <t>Pat Cash</t>
  </si>
  <si>
    <t>Andres Gomez</t>
  </si>
  <si>
    <t>Michael Stich</t>
  </si>
  <si>
    <t>Thomas Muster</t>
  </si>
  <si>
    <t>Richard Krajicek</t>
  </si>
  <si>
    <t>Carlos Moya</t>
  </si>
  <si>
    <t>Petr Korda</t>
  </si>
  <si>
    <t>Goran Ivanisevic</t>
  </si>
  <si>
    <t>Thomas Johansson</t>
  </si>
  <si>
    <t>Albert Costa</t>
  </si>
  <si>
    <t>Juan Carlos Ferrero</t>
  </si>
  <si>
    <t>Gaston Gaudio</t>
  </si>
  <si>
    <t>Ilie</t>
  </si>
  <si>
    <t>Nastase</t>
  </si>
  <si>
    <t>Romania</t>
  </si>
  <si>
    <t>Kodes*</t>
  </si>
  <si>
    <t>Lleyton</t>
  </si>
  <si>
    <t>Hewitt</t>
  </si>
  <si>
    <t>Smith</t>
  </si>
  <si>
    <t>Roddick</t>
  </si>
  <si>
    <t>1960s</t>
  </si>
  <si>
    <t>Finish</t>
  </si>
  <si>
    <t>1970s</t>
  </si>
  <si>
    <t>1980s</t>
  </si>
  <si>
    <t>1990s</t>
  </si>
  <si>
    <t>2000s</t>
  </si>
  <si>
    <t>2010s</t>
  </si>
  <si>
    <t>Cilic</t>
  </si>
  <si>
    <t>Marin</t>
  </si>
  <si>
    <t>Croatia</t>
  </si>
  <si>
    <t>Must be top 3 at some point in career to be included here</t>
  </si>
  <si>
    <t>Juan Martin</t>
  </si>
  <si>
    <t>Del Potro</t>
  </si>
  <si>
    <t>Michael Chang</t>
  </si>
  <si>
    <t>Michael</t>
  </si>
  <si>
    <t>Chang</t>
  </si>
  <si>
    <t>Adjusted for Year</t>
  </si>
  <si>
    <t>Average per Year</t>
  </si>
  <si>
    <t>Dominic Thiem</t>
  </si>
  <si>
    <t>Dominic</t>
  </si>
  <si>
    <t>Thiem</t>
  </si>
  <si>
    <t>Austria</t>
  </si>
  <si>
    <t>Johan</t>
  </si>
  <si>
    <t>Kriek</t>
  </si>
  <si>
    <t>South Africa</t>
  </si>
  <si>
    <t>Sergi</t>
  </si>
  <si>
    <t>Bruguera</t>
  </si>
  <si>
    <t>Pat Rafter</t>
  </si>
  <si>
    <t>Marat</t>
  </si>
  <si>
    <t>Safin</t>
  </si>
  <si>
    <t>Russia</t>
  </si>
  <si>
    <t>Yevgeny</t>
  </si>
  <si>
    <t>Kafelnikov</t>
  </si>
  <si>
    <t>Pat</t>
  </si>
  <si>
    <t>Rafter</t>
  </si>
  <si>
    <t>Daniil Medvedev</t>
  </si>
  <si>
    <t>Daniil</t>
  </si>
  <si>
    <t>Medvedev</t>
  </si>
  <si>
    <t>Carlos Alcaraz</t>
  </si>
  <si>
    <t>Carlos</t>
  </si>
  <si>
    <t>Alcaraz</t>
  </si>
  <si>
    <t>Gaston</t>
  </si>
  <si>
    <t>Gaudio</t>
  </si>
  <si>
    <t>Andres</t>
  </si>
  <si>
    <t>Gimeno</t>
  </si>
  <si>
    <t>David Ferrer</t>
  </si>
  <si>
    <t>Tom Okker</t>
  </si>
  <si>
    <t>Alexander Zverev</t>
  </si>
  <si>
    <t>Tony Roche</t>
  </si>
  <si>
    <t>Tomas Berdych</t>
  </si>
  <si>
    <t>Manuel</t>
  </si>
  <si>
    <t>Orantes</t>
  </si>
  <si>
    <t>Mark</t>
  </si>
  <si>
    <t>Edmondson</t>
  </si>
  <si>
    <t>Adriano</t>
  </si>
  <si>
    <t>Panatta</t>
  </si>
  <si>
    <t>Italy</t>
  </si>
  <si>
    <t>Roscoe</t>
  </si>
  <si>
    <t>Tanner</t>
  </si>
  <si>
    <t>Vitas</t>
  </si>
  <si>
    <t>Gerulaitis</t>
  </si>
  <si>
    <t>Brian</t>
  </si>
  <si>
    <t>Teacher</t>
  </si>
  <si>
    <t>Yannick</t>
  </si>
  <si>
    <t>Noah</t>
  </si>
  <si>
    <t>France</t>
  </si>
  <si>
    <t>Cash</t>
  </si>
  <si>
    <t>top 5 best w/o GS</t>
  </si>
  <si>
    <t>Top Active w/o GS</t>
  </si>
  <si>
    <t>Stefanos Tsitsipas</t>
  </si>
  <si>
    <t>Kei Nishikori</t>
  </si>
  <si>
    <t>Milos Raonic</t>
  </si>
  <si>
    <t>John Isner</t>
  </si>
  <si>
    <t>Andrey Rublev</t>
  </si>
  <si>
    <t>Gael Monfils</t>
  </si>
  <si>
    <t>Casper Ruud</t>
  </si>
  <si>
    <t>Grigor Dimitrov</t>
  </si>
  <si>
    <t>Richard Gasquet</t>
  </si>
  <si>
    <t>Gomez</t>
  </si>
  <si>
    <t>Ecuador</t>
  </si>
  <si>
    <t>Stich</t>
  </si>
  <si>
    <t>Jannik Sinner</t>
  </si>
  <si>
    <t>thru F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</si>
</sst>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369CD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5" fontId="2" fillId="0" borderId="0" xfId="3" applyNumberFormat="1" applyFont="1" applyAlignment="1">
      <alignment horizontal="center" vertical="center"/>
    </xf>
    <xf numFmtId="2" fontId="2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3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4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3" builtinId="5"/>
  </cellStyles>
  <dxfs count="66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369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hartsheet" Target="chartsheets/sheet6.xml"/><Relationship Id="rId18" Type="http://schemas.openxmlformats.org/officeDocument/2006/relationships/worksheet" Target="worksheets/sheet10.xml"/><Relationship Id="rId26" Type="http://schemas.openxmlformats.org/officeDocument/2006/relationships/worksheet" Target="worksheets/sheet14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0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5.xml"/><Relationship Id="rId17" Type="http://schemas.openxmlformats.org/officeDocument/2006/relationships/chartsheet" Target="chartsheets/sheet8.xml"/><Relationship Id="rId25" Type="http://schemas.openxmlformats.org/officeDocument/2006/relationships/chartsheet" Target="chart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9.xml"/><Relationship Id="rId20" Type="http://schemas.openxmlformats.org/officeDocument/2006/relationships/worksheet" Target="worksheets/sheet11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4.xml"/><Relationship Id="rId24" Type="http://schemas.openxmlformats.org/officeDocument/2006/relationships/worksheet" Target="worksheets/sheet13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7.xml"/><Relationship Id="rId23" Type="http://schemas.openxmlformats.org/officeDocument/2006/relationships/chartsheet" Target="chartsheets/sheet11.xml"/><Relationship Id="rId28" Type="http://schemas.openxmlformats.org/officeDocument/2006/relationships/theme" Target="theme/theme1.xml"/><Relationship Id="rId10" Type="http://schemas.openxmlformats.org/officeDocument/2006/relationships/chartsheet" Target="chartsheets/sheet3.xml"/><Relationship Id="rId19" Type="http://schemas.openxmlformats.org/officeDocument/2006/relationships/chartsheet" Target="chartsheets/sheet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8.xml"/><Relationship Id="rId22" Type="http://schemas.openxmlformats.org/officeDocument/2006/relationships/worksheet" Target="worksheets/sheet12.xml"/><Relationship Id="rId27" Type="http://schemas.openxmlformats.org/officeDocument/2006/relationships/chartsheet" Target="chartsheets/sheet13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GOAT Tennis Players - Grand Slams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'By Date'!$A$2</c:f>
              <c:strCache>
                <c:ptCount val="1"/>
                <c:pt idx="0">
                  <c:v>Laver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Date'!$A$1:$BE$1</c:f>
              <c:strCache>
                <c:ptCount val="57"/>
                <c:pt idx="0">
                  <c:v>Year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strCache>
            </c:strRef>
          </c:cat>
          <c:val>
            <c:numRef>
              <c:f>'By Date'!$B$2:$BE$2</c:f>
              <c:numCache>
                <c:formatCode>General</c:formatCode>
                <c:ptCount val="56"/>
                <c:pt idx="0">
                  <c:v>941</c:v>
                </c:pt>
                <c:pt idx="1">
                  <c:v>2967</c:v>
                </c:pt>
                <c:pt idx="2">
                  <c:v>3142</c:v>
                </c:pt>
                <c:pt idx="3">
                  <c:v>3413</c:v>
                </c:pt>
                <c:pt idx="4">
                  <c:v>3482</c:v>
                </c:pt>
                <c:pt idx="5">
                  <c:v>3540</c:v>
                </c:pt>
                <c:pt idx="6">
                  <c:v>3540</c:v>
                </c:pt>
                <c:pt idx="7">
                  <c:v>3714</c:v>
                </c:pt>
                <c:pt idx="8">
                  <c:v>3714</c:v>
                </c:pt>
                <c:pt idx="9">
                  <c:v>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BD-0549-9981-0A50F240DCD3}"/>
            </c:ext>
          </c:extLst>
        </c:ser>
        <c:ser>
          <c:idx val="11"/>
          <c:order val="1"/>
          <c:tx>
            <c:strRef>
              <c:f>'By Date'!$A$3</c:f>
              <c:strCache>
                <c:ptCount val="1"/>
                <c:pt idx="0">
                  <c:v>Rosewall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Date'!$A$1:$BE$1</c:f>
              <c:strCache>
                <c:ptCount val="57"/>
                <c:pt idx="0">
                  <c:v>Year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strCache>
            </c:strRef>
          </c:cat>
          <c:val>
            <c:numRef>
              <c:f>'By Date'!$B$3:$BE$3</c:f>
              <c:numCache>
                <c:formatCode>General</c:formatCode>
                <c:ptCount val="56"/>
                <c:pt idx="0">
                  <c:v>855</c:v>
                </c:pt>
                <c:pt idx="1">
                  <c:v>1499</c:v>
                </c:pt>
                <c:pt idx="2">
                  <c:v>2375</c:v>
                </c:pt>
                <c:pt idx="3">
                  <c:v>3178</c:v>
                </c:pt>
                <c:pt idx="4">
                  <c:v>3538</c:v>
                </c:pt>
                <c:pt idx="5">
                  <c:v>3673</c:v>
                </c:pt>
                <c:pt idx="6">
                  <c:v>4481</c:v>
                </c:pt>
                <c:pt idx="7">
                  <c:v>4543</c:v>
                </c:pt>
                <c:pt idx="8">
                  <c:v>4696</c:v>
                </c:pt>
                <c:pt idx="9">
                  <c:v>4822</c:v>
                </c:pt>
                <c:pt idx="10">
                  <c:v>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BD-0549-9981-0A50F240DCD3}"/>
            </c:ext>
          </c:extLst>
        </c:ser>
        <c:ser>
          <c:idx val="12"/>
          <c:order val="2"/>
          <c:tx>
            <c:strRef>
              <c:f>'By Date'!$A$4</c:f>
              <c:strCache>
                <c:ptCount val="1"/>
                <c:pt idx="0">
                  <c:v>Newcombe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Date'!$A$1:$BE$1</c:f>
              <c:strCache>
                <c:ptCount val="57"/>
                <c:pt idx="0">
                  <c:v>Year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strCache>
            </c:strRef>
          </c:cat>
          <c:val>
            <c:numRef>
              <c:f>'By Date'!$B$4:$BE$4</c:f>
              <c:numCache>
                <c:formatCode>General</c:formatCode>
                <c:ptCount val="56"/>
                <c:pt idx="0">
                  <c:v>249</c:v>
                </c:pt>
                <c:pt idx="1">
                  <c:v>1314</c:v>
                </c:pt>
                <c:pt idx="2">
                  <c:v>2043</c:v>
                </c:pt>
                <c:pt idx="3">
                  <c:v>2544</c:v>
                </c:pt>
                <c:pt idx="4">
                  <c:v>2696</c:v>
                </c:pt>
                <c:pt idx="5">
                  <c:v>3416</c:v>
                </c:pt>
                <c:pt idx="6">
                  <c:v>4048</c:v>
                </c:pt>
                <c:pt idx="7">
                  <c:v>4428</c:v>
                </c:pt>
                <c:pt idx="8">
                  <c:v>4555</c:v>
                </c:pt>
                <c:pt idx="9">
                  <c:v>4781</c:v>
                </c:pt>
                <c:pt idx="10">
                  <c:v>4843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BD-0549-9981-0A50F240DCD3}"/>
            </c:ext>
          </c:extLst>
        </c:ser>
        <c:ser>
          <c:idx val="13"/>
          <c:order val="3"/>
          <c:tx>
            <c:strRef>
              <c:f>'By Date'!$A$5</c:f>
              <c:strCache>
                <c:ptCount val="1"/>
                <c:pt idx="0">
                  <c:v>Ashe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Date'!$A$1:$BE$1</c:f>
              <c:strCache>
                <c:ptCount val="57"/>
                <c:pt idx="0">
                  <c:v>Year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strCache>
            </c:strRef>
          </c:cat>
          <c:val>
            <c:numRef>
              <c:f>'By Date'!$B$5:$BE$5</c:f>
              <c:numCache>
                <c:formatCode>General</c:formatCode>
                <c:ptCount val="56"/>
                <c:pt idx="0">
                  <c:v>796</c:v>
                </c:pt>
                <c:pt idx="1">
                  <c:v>1422</c:v>
                </c:pt>
                <c:pt idx="2">
                  <c:v>2416</c:v>
                </c:pt>
                <c:pt idx="3">
                  <c:v>3217</c:v>
                </c:pt>
                <c:pt idx="4">
                  <c:v>3629</c:v>
                </c:pt>
                <c:pt idx="5">
                  <c:v>3728</c:v>
                </c:pt>
                <c:pt idx="6">
                  <c:v>3895</c:v>
                </c:pt>
                <c:pt idx="7">
                  <c:v>4437</c:v>
                </c:pt>
                <c:pt idx="8">
                  <c:v>4517</c:v>
                </c:pt>
                <c:pt idx="9">
                  <c:v>4501</c:v>
                </c:pt>
                <c:pt idx="10">
                  <c:v>4721</c:v>
                </c:pt>
                <c:pt idx="11">
                  <c:v>4645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BD-0549-9981-0A50F240DCD3}"/>
            </c:ext>
          </c:extLst>
        </c:ser>
        <c:ser>
          <c:idx val="14"/>
          <c:order val="4"/>
          <c:tx>
            <c:strRef>
              <c:f>'By Date'!$A$6</c:f>
              <c:strCache>
                <c:ptCount val="1"/>
                <c:pt idx="0">
                  <c:v>Smith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Date'!$A$1:$BE$1</c:f>
              <c:strCache>
                <c:ptCount val="57"/>
                <c:pt idx="0">
                  <c:v>Year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strCache>
            </c:strRef>
          </c:cat>
          <c:val>
            <c:numRef>
              <c:f>'By Date'!$B$6:$BE$6</c:f>
              <c:numCache>
                <c:formatCode>General</c:formatCode>
                <c:ptCount val="56"/>
                <c:pt idx="0">
                  <c:v>33</c:v>
                </c:pt>
                <c:pt idx="1">
                  <c:v>187</c:v>
                </c:pt>
                <c:pt idx="2">
                  <c:v>573</c:v>
                </c:pt>
                <c:pt idx="3">
                  <c:v>1578</c:v>
                </c:pt>
                <c:pt idx="4">
                  <c:v>2414</c:v>
                </c:pt>
                <c:pt idx="5">
                  <c:v>2844</c:v>
                </c:pt>
                <c:pt idx="6">
                  <c:v>3090</c:v>
                </c:pt>
                <c:pt idx="7">
                  <c:v>2992</c:v>
                </c:pt>
                <c:pt idx="8">
                  <c:v>3082</c:v>
                </c:pt>
                <c:pt idx="9">
                  <c:v>3134</c:v>
                </c:pt>
                <c:pt idx="10">
                  <c:v>3067</c:v>
                </c:pt>
                <c:pt idx="11">
                  <c:v>3110</c:v>
                </c:pt>
                <c:pt idx="12">
                  <c:v>3139</c:v>
                </c:pt>
                <c:pt idx="13">
                  <c:v>3238</c:v>
                </c:pt>
                <c:pt idx="14">
                  <c:v>3199</c:v>
                </c:pt>
                <c:pt idx="15">
                  <c:v>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BD-0549-9981-0A50F240DCD3}"/>
            </c:ext>
          </c:extLst>
        </c:ser>
        <c:ser>
          <c:idx val="15"/>
          <c:order val="5"/>
          <c:tx>
            <c:strRef>
              <c:f>'By Date'!$A$7</c:f>
              <c:strCache>
                <c:ptCount val="1"/>
                <c:pt idx="0">
                  <c:v>Vilas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Date'!$A$1:$BE$1</c:f>
              <c:strCache>
                <c:ptCount val="57"/>
                <c:pt idx="0">
                  <c:v>Year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strCache>
            </c:strRef>
          </c:cat>
          <c:val>
            <c:numRef>
              <c:f>'By Date'!$B$7:$BE$7</c:f>
              <c:numCache>
                <c:formatCode>General</c:formatCode>
                <c:ptCount val="56"/>
                <c:pt idx="2">
                  <c:v>-99</c:v>
                </c:pt>
                <c:pt idx="3">
                  <c:v>-99</c:v>
                </c:pt>
                <c:pt idx="4">
                  <c:v>-102</c:v>
                </c:pt>
                <c:pt idx="5">
                  <c:v>-118</c:v>
                </c:pt>
                <c:pt idx="6">
                  <c:v>42</c:v>
                </c:pt>
                <c:pt idx="7">
                  <c:v>747</c:v>
                </c:pt>
                <c:pt idx="8">
                  <c:v>1287</c:v>
                </c:pt>
                <c:pt idx="9">
                  <c:v>2437</c:v>
                </c:pt>
                <c:pt idx="10">
                  <c:v>3192</c:v>
                </c:pt>
                <c:pt idx="11">
                  <c:v>3812</c:v>
                </c:pt>
                <c:pt idx="12">
                  <c:v>4161</c:v>
                </c:pt>
                <c:pt idx="13">
                  <c:v>4343</c:v>
                </c:pt>
                <c:pt idx="14">
                  <c:v>4795</c:v>
                </c:pt>
                <c:pt idx="15">
                  <c:v>4732</c:v>
                </c:pt>
                <c:pt idx="16">
                  <c:v>4683</c:v>
                </c:pt>
                <c:pt idx="17">
                  <c:v>4659</c:v>
                </c:pt>
                <c:pt idx="18">
                  <c:v>4618</c:v>
                </c:pt>
                <c:pt idx="19">
                  <c:v>4565</c:v>
                </c:pt>
                <c:pt idx="20">
                  <c:v>4520</c:v>
                </c:pt>
                <c:pt idx="21">
                  <c:v>4421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BD-0549-9981-0A50F240DCD3}"/>
            </c:ext>
          </c:extLst>
        </c:ser>
        <c:ser>
          <c:idx val="16"/>
          <c:order val="6"/>
          <c:tx>
            <c:strRef>
              <c:f>'By Date'!$A$8</c:f>
              <c:strCache>
                <c:ptCount val="1"/>
                <c:pt idx="0">
                  <c:v>Connors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Date'!$A$1:$BE$1</c:f>
              <c:strCache>
                <c:ptCount val="57"/>
                <c:pt idx="0">
                  <c:v>Year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strCache>
            </c:strRef>
          </c:cat>
          <c:val>
            <c:numRef>
              <c:f>'By Date'!$B$8:$BE$8</c:f>
              <c:numCache>
                <c:formatCode>General</c:formatCode>
                <c:ptCount val="56"/>
                <c:pt idx="2">
                  <c:v>-18</c:v>
                </c:pt>
                <c:pt idx="3">
                  <c:v>-61</c:v>
                </c:pt>
                <c:pt idx="4">
                  <c:v>146</c:v>
                </c:pt>
                <c:pt idx="5">
                  <c:v>312</c:v>
                </c:pt>
                <c:pt idx="6">
                  <c:v>1686</c:v>
                </c:pt>
                <c:pt idx="7">
                  <c:v>2638</c:v>
                </c:pt>
                <c:pt idx="8">
                  <c:v>3177</c:v>
                </c:pt>
                <c:pt idx="9">
                  <c:v>3860</c:v>
                </c:pt>
                <c:pt idx="10">
                  <c:v>4787</c:v>
                </c:pt>
                <c:pt idx="11">
                  <c:v>5593</c:v>
                </c:pt>
                <c:pt idx="12">
                  <c:v>6344</c:v>
                </c:pt>
                <c:pt idx="13">
                  <c:v>6894</c:v>
                </c:pt>
                <c:pt idx="14">
                  <c:v>7981</c:v>
                </c:pt>
                <c:pt idx="15">
                  <c:v>8697</c:v>
                </c:pt>
                <c:pt idx="16">
                  <c:v>9393</c:v>
                </c:pt>
                <c:pt idx="17">
                  <c:v>9991</c:v>
                </c:pt>
                <c:pt idx="18">
                  <c:v>9894</c:v>
                </c:pt>
                <c:pt idx="19">
                  <c:v>10347</c:v>
                </c:pt>
                <c:pt idx="20">
                  <c:v>10314</c:v>
                </c:pt>
                <c:pt idx="21">
                  <c:v>10488</c:v>
                </c:pt>
                <c:pt idx="22">
                  <c:v>10488</c:v>
                </c:pt>
                <c:pt idx="23">
                  <c:v>10922</c:v>
                </c:pt>
                <c:pt idx="24">
                  <c:v>10870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EBD-0549-9981-0A50F240DCD3}"/>
            </c:ext>
          </c:extLst>
        </c:ser>
        <c:ser>
          <c:idx val="17"/>
          <c:order val="7"/>
          <c:tx>
            <c:strRef>
              <c:f>'By Date'!$A$9</c:f>
              <c:strCache>
                <c:ptCount val="1"/>
                <c:pt idx="0">
                  <c:v>Borg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Date'!$A$1:$BE$1</c:f>
              <c:strCache>
                <c:ptCount val="57"/>
                <c:pt idx="0">
                  <c:v>Year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strCache>
            </c:strRef>
          </c:cat>
          <c:val>
            <c:numRef>
              <c:f>'By Date'!$B$9:$BE$9</c:f>
              <c:numCache>
                <c:formatCode>General</c:formatCode>
                <c:ptCount val="56"/>
                <c:pt idx="5">
                  <c:v>358</c:v>
                </c:pt>
                <c:pt idx="6">
                  <c:v>710</c:v>
                </c:pt>
                <c:pt idx="7">
                  <c:v>1639</c:v>
                </c:pt>
                <c:pt idx="8">
                  <c:v>2629</c:v>
                </c:pt>
                <c:pt idx="9">
                  <c:v>3204</c:v>
                </c:pt>
                <c:pt idx="10">
                  <c:v>4496</c:v>
                </c:pt>
                <c:pt idx="11">
                  <c:v>5430</c:v>
                </c:pt>
                <c:pt idx="12">
                  <c:v>6801</c:v>
                </c:pt>
                <c:pt idx="13">
                  <c:v>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EBD-0549-9981-0A50F240DCD3}"/>
            </c:ext>
          </c:extLst>
        </c:ser>
        <c:ser>
          <c:idx val="18"/>
          <c:order val="8"/>
          <c:tx>
            <c:strRef>
              <c:f>'By Date'!$A$10</c:f>
              <c:strCache>
                <c:ptCount val="1"/>
                <c:pt idx="0">
                  <c:v>McEnroe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Date'!$A$1:$BE$1</c:f>
              <c:strCache>
                <c:ptCount val="57"/>
                <c:pt idx="0">
                  <c:v>Year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strCache>
            </c:strRef>
          </c:cat>
          <c:val>
            <c:numRef>
              <c:f>'By Date'!$B$10:$BE$10</c:f>
              <c:numCache>
                <c:formatCode>General</c:formatCode>
                <c:ptCount val="56"/>
                <c:pt idx="9">
                  <c:v>369</c:v>
                </c:pt>
                <c:pt idx="10">
                  <c:v>528</c:v>
                </c:pt>
                <c:pt idx="11">
                  <c:v>1139</c:v>
                </c:pt>
                <c:pt idx="12">
                  <c:v>1854</c:v>
                </c:pt>
                <c:pt idx="13">
                  <c:v>2976</c:v>
                </c:pt>
                <c:pt idx="14">
                  <c:v>3554</c:v>
                </c:pt>
                <c:pt idx="15">
                  <c:v>4178</c:v>
                </c:pt>
                <c:pt idx="16">
                  <c:v>5481</c:v>
                </c:pt>
                <c:pt idx="17">
                  <c:v>6089</c:v>
                </c:pt>
                <c:pt idx="18">
                  <c:v>6069</c:v>
                </c:pt>
                <c:pt idx="19">
                  <c:v>6227</c:v>
                </c:pt>
                <c:pt idx="20">
                  <c:v>6192</c:v>
                </c:pt>
                <c:pt idx="21">
                  <c:v>6503</c:v>
                </c:pt>
                <c:pt idx="22">
                  <c:v>6705</c:v>
                </c:pt>
                <c:pt idx="23">
                  <c:v>6705</c:v>
                </c:pt>
                <c:pt idx="24">
                  <c:v>7077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EBD-0549-9981-0A50F240DCD3}"/>
            </c:ext>
          </c:extLst>
        </c:ser>
        <c:ser>
          <c:idx val="19"/>
          <c:order val="9"/>
          <c:tx>
            <c:strRef>
              <c:f>'By Date'!$A$11</c:f>
              <c:strCache>
                <c:ptCount val="1"/>
                <c:pt idx="0">
                  <c:v>Lendl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Date'!$A$1:$BE$1</c:f>
              <c:strCache>
                <c:ptCount val="57"/>
                <c:pt idx="0">
                  <c:v>Year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strCache>
            </c:strRef>
          </c:cat>
          <c:val>
            <c:numRef>
              <c:f>'By Date'!$B$11:$BE$11</c:f>
              <c:numCache>
                <c:formatCode>General</c:formatCode>
                <c:ptCount val="56"/>
                <c:pt idx="10">
                  <c:v>-99</c:v>
                </c:pt>
                <c:pt idx="11">
                  <c:v>32</c:v>
                </c:pt>
                <c:pt idx="12">
                  <c:v>245</c:v>
                </c:pt>
                <c:pt idx="13">
                  <c:v>578</c:v>
                </c:pt>
                <c:pt idx="14">
                  <c:v>1000</c:v>
                </c:pt>
                <c:pt idx="15">
                  <c:v>1981</c:v>
                </c:pt>
                <c:pt idx="16">
                  <c:v>3198</c:v>
                </c:pt>
                <c:pt idx="17">
                  <c:v>4135</c:v>
                </c:pt>
                <c:pt idx="18">
                  <c:v>5384</c:v>
                </c:pt>
                <c:pt idx="19">
                  <c:v>6868</c:v>
                </c:pt>
                <c:pt idx="20">
                  <c:v>7786</c:v>
                </c:pt>
                <c:pt idx="21">
                  <c:v>8938</c:v>
                </c:pt>
                <c:pt idx="22">
                  <c:v>9513</c:v>
                </c:pt>
                <c:pt idx="23">
                  <c:v>10233</c:v>
                </c:pt>
                <c:pt idx="24">
                  <c:v>10584</c:v>
                </c:pt>
                <c:pt idx="25">
                  <c:v>10301</c:v>
                </c:pt>
                <c:pt idx="26">
                  <c:v>10423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EBD-0549-9981-0A50F240DCD3}"/>
            </c:ext>
          </c:extLst>
        </c:ser>
        <c:ser>
          <c:idx val="0"/>
          <c:order val="10"/>
          <c:tx>
            <c:strRef>
              <c:f>'By Date'!$A$12</c:f>
              <c:strCache>
                <c:ptCount val="1"/>
                <c:pt idx="0">
                  <c:v>Wilander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Date'!$A$1:$BE$1</c:f>
              <c:strCache>
                <c:ptCount val="57"/>
                <c:pt idx="0">
                  <c:v>Year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strCache>
            </c:strRef>
          </c:cat>
          <c:val>
            <c:numRef>
              <c:f>'By Date'!$B$12:$BE$12</c:f>
              <c:numCache>
                <c:formatCode>General</c:formatCode>
                <c:ptCount val="56"/>
                <c:pt idx="13">
                  <c:v>-98</c:v>
                </c:pt>
                <c:pt idx="14">
                  <c:v>636</c:v>
                </c:pt>
                <c:pt idx="15">
                  <c:v>1680</c:v>
                </c:pt>
                <c:pt idx="16">
                  <c:v>2407</c:v>
                </c:pt>
                <c:pt idx="17">
                  <c:v>3373</c:v>
                </c:pt>
                <c:pt idx="18">
                  <c:v>3420</c:v>
                </c:pt>
                <c:pt idx="19">
                  <c:v>4270</c:v>
                </c:pt>
                <c:pt idx="20">
                  <c:v>5780</c:v>
                </c:pt>
                <c:pt idx="21">
                  <c:v>5890</c:v>
                </c:pt>
                <c:pt idx="22">
                  <c:v>6075</c:v>
                </c:pt>
                <c:pt idx="23">
                  <c:v>6035</c:v>
                </c:pt>
                <c:pt idx="24">
                  <c:v>6035</c:v>
                </c:pt>
                <c:pt idx="25">
                  <c:v>6113</c:v>
                </c:pt>
                <c:pt idx="26">
                  <c:v>5972</c:v>
                </c:pt>
                <c:pt idx="27">
                  <c:v>5934</c:v>
                </c:pt>
                <c:pt idx="28">
                  <c:v>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EBD-0549-9981-0A50F240DCD3}"/>
            </c:ext>
          </c:extLst>
        </c:ser>
        <c:ser>
          <c:idx val="20"/>
          <c:order val="11"/>
          <c:tx>
            <c:strRef>
              <c:f>'By Date'!$A$13</c:f>
              <c:strCache>
                <c:ptCount val="1"/>
                <c:pt idx="0">
                  <c:v>Edberg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Date'!$A$1:$BE$1</c:f>
              <c:strCache>
                <c:ptCount val="57"/>
                <c:pt idx="0">
                  <c:v>Year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strCache>
            </c:strRef>
          </c:cat>
          <c:val>
            <c:numRef>
              <c:f>'By Date'!$B$13:$BE$13</c:f>
              <c:numCache>
                <c:formatCode>General</c:formatCode>
                <c:ptCount val="56"/>
                <c:pt idx="15">
                  <c:v>-143</c:v>
                </c:pt>
                <c:pt idx="16">
                  <c:v>-17</c:v>
                </c:pt>
                <c:pt idx="17">
                  <c:v>775</c:v>
                </c:pt>
                <c:pt idx="18">
                  <c:v>1026</c:v>
                </c:pt>
                <c:pt idx="19">
                  <c:v>1790</c:v>
                </c:pt>
                <c:pt idx="20">
                  <c:v>2358</c:v>
                </c:pt>
                <c:pt idx="21">
                  <c:v>3122</c:v>
                </c:pt>
                <c:pt idx="22">
                  <c:v>3745</c:v>
                </c:pt>
                <c:pt idx="23">
                  <c:v>4666</c:v>
                </c:pt>
                <c:pt idx="24">
                  <c:v>5484</c:v>
                </c:pt>
                <c:pt idx="25">
                  <c:v>6085</c:v>
                </c:pt>
                <c:pt idx="26">
                  <c:v>6145</c:v>
                </c:pt>
                <c:pt idx="27">
                  <c:v>6147</c:v>
                </c:pt>
                <c:pt idx="28">
                  <c:v>6568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EBD-0549-9981-0A50F240DCD3}"/>
            </c:ext>
          </c:extLst>
        </c:ser>
        <c:ser>
          <c:idx val="1"/>
          <c:order val="12"/>
          <c:tx>
            <c:strRef>
              <c:f>'By Date'!$A$14</c:f>
              <c:strCache>
                <c:ptCount val="1"/>
                <c:pt idx="0">
                  <c:v>Becker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Date'!$A$1:$BE$1</c:f>
              <c:strCache>
                <c:ptCount val="57"/>
                <c:pt idx="0">
                  <c:v>Year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strCache>
            </c:strRef>
          </c:cat>
          <c:val>
            <c:numRef>
              <c:f>'By Date'!$B$14:$BE$14</c:f>
              <c:numCache>
                <c:formatCode>General</c:formatCode>
                <c:ptCount val="56"/>
                <c:pt idx="16">
                  <c:v>203</c:v>
                </c:pt>
                <c:pt idx="17">
                  <c:v>700</c:v>
                </c:pt>
                <c:pt idx="18">
                  <c:v>1485</c:v>
                </c:pt>
                <c:pt idx="19">
                  <c:v>1778</c:v>
                </c:pt>
                <c:pt idx="20">
                  <c:v>2243</c:v>
                </c:pt>
                <c:pt idx="21">
                  <c:v>3369</c:v>
                </c:pt>
                <c:pt idx="22">
                  <c:v>4108</c:v>
                </c:pt>
                <c:pt idx="23">
                  <c:v>5164</c:v>
                </c:pt>
                <c:pt idx="24">
                  <c:v>5431</c:v>
                </c:pt>
                <c:pt idx="25">
                  <c:v>5620</c:v>
                </c:pt>
                <c:pt idx="26">
                  <c:v>5701</c:v>
                </c:pt>
                <c:pt idx="27">
                  <c:v>6009</c:v>
                </c:pt>
                <c:pt idx="28">
                  <c:v>6446</c:v>
                </c:pt>
                <c:pt idx="29">
                  <c:v>6591</c:v>
                </c:pt>
                <c:pt idx="30">
                  <c:v>6591</c:v>
                </c:pt>
                <c:pt idx="31">
                  <c:v>6740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EBD-0549-9981-0A50F240DCD3}"/>
            </c:ext>
          </c:extLst>
        </c:ser>
        <c:ser>
          <c:idx val="21"/>
          <c:order val="13"/>
          <c:tx>
            <c:strRef>
              <c:f>'By Date'!$A$15</c:f>
              <c:strCache>
                <c:ptCount val="1"/>
                <c:pt idx="0">
                  <c:v>Agassi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Date'!$A$1:$BE$1</c:f>
              <c:strCache>
                <c:ptCount val="57"/>
                <c:pt idx="0">
                  <c:v>Year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strCache>
            </c:strRef>
          </c:cat>
          <c:val>
            <c:numRef>
              <c:f>'By Date'!$B$15:$BE$15</c:f>
              <c:numCache>
                <c:formatCode>General</c:formatCode>
                <c:ptCount val="56"/>
                <c:pt idx="18">
                  <c:v>-99</c:v>
                </c:pt>
                <c:pt idx="19">
                  <c:v>-210</c:v>
                </c:pt>
                <c:pt idx="20">
                  <c:v>170</c:v>
                </c:pt>
                <c:pt idx="21">
                  <c:v>292</c:v>
                </c:pt>
                <c:pt idx="22">
                  <c:v>952</c:v>
                </c:pt>
                <c:pt idx="23">
                  <c:v>1406</c:v>
                </c:pt>
                <c:pt idx="24">
                  <c:v>2359</c:v>
                </c:pt>
                <c:pt idx="25">
                  <c:v>2465</c:v>
                </c:pt>
                <c:pt idx="26">
                  <c:v>3095</c:v>
                </c:pt>
                <c:pt idx="27">
                  <c:v>4165</c:v>
                </c:pt>
                <c:pt idx="28">
                  <c:v>4365</c:v>
                </c:pt>
                <c:pt idx="29">
                  <c:v>4411</c:v>
                </c:pt>
                <c:pt idx="30">
                  <c:v>4505</c:v>
                </c:pt>
                <c:pt idx="31">
                  <c:v>5464</c:v>
                </c:pt>
                <c:pt idx="32">
                  <c:v>6108</c:v>
                </c:pt>
                <c:pt idx="33">
                  <c:v>7019</c:v>
                </c:pt>
                <c:pt idx="34">
                  <c:v>7291</c:v>
                </c:pt>
                <c:pt idx="35">
                  <c:v>8140</c:v>
                </c:pt>
                <c:pt idx="36">
                  <c:v>8405</c:v>
                </c:pt>
                <c:pt idx="37">
                  <c:v>8814</c:v>
                </c:pt>
                <c:pt idx="38">
                  <c:v>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EBD-0549-9981-0A50F240DCD3}"/>
            </c:ext>
          </c:extLst>
        </c:ser>
        <c:ser>
          <c:idx val="2"/>
          <c:order val="14"/>
          <c:tx>
            <c:strRef>
              <c:f>'By Date'!$A$16</c:f>
              <c:strCache>
                <c:ptCount val="1"/>
                <c:pt idx="0">
                  <c:v>Courier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Date'!$A$1:$BE$1</c:f>
              <c:strCache>
                <c:ptCount val="57"/>
                <c:pt idx="0">
                  <c:v>Year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strCache>
            </c:strRef>
          </c:cat>
          <c:val>
            <c:numRef>
              <c:f>'By Date'!$B$16:$BE$16</c:f>
              <c:numCache>
                <c:formatCode>General</c:formatCode>
                <c:ptCount val="56"/>
                <c:pt idx="20">
                  <c:v>3</c:v>
                </c:pt>
                <c:pt idx="21">
                  <c:v>90</c:v>
                </c:pt>
                <c:pt idx="22">
                  <c:v>36</c:v>
                </c:pt>
                <c:pt idx="23">
                  <c:v>1015</c:v>
                </c:pt>
                <c:pt idx="24">
                  <c:v>2103</c:v>
                </c:pt>
                <c:pt idx="25">
                  <c:v>3272</c:v>
                </c:pt>
                <c:pt idx="26">
                  <c:v>3752</c:v>
                </c:pt>
                <c:pt idx="27">
                  <c:v>4223</c:v>
                </c:pt>
                <c:pt idx="28">
                  <c:v>4350</c:v>
                </c:pt>
                <c:pt idx="29">
                  <c:v>4211</c:v>
                </c:pt>
                <c:pt idx="30">
                  <c:v>4128</c:v>
                </c:pt>
                <c:pt idx="31">
                  <c:v>4183</c:v>
                </c:pt>
                <c:pt idx="32">
                  <c:v>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EBD-0549-9981-0A50F240DCD3}"/>
            </c:ext>
          </c:extLst>
        </c:ser>
        <c:ser>
          <c:idx val="22"/>
          <c:order val="15"/>
          <c:tx>
            <c:strRef>
              <c:f>'By Date'!$A$17</c:f>
              <c:strCache>
                <c:ptCount val="1"/>
                <c:pt idx="0">
                  <c:v>Sampras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Date'!$A$1:$BE$1</c:f>
              <c:strCache>
                <c:ptCount val="57"/>
                <c:pt idx="0">
                  <c:v>Year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strCache>
            </c:strRef>
          </c:cat>
          <c:val>
            <c:numRef>
              <c:f>'By Date'!$B$17:$BE$17</c:f>
              <c:numCache>
                <c:formatCode>General</c:formatCode>
                <c:ptCount val="56"/>
                <c:pt idx="20">
                  <c:v>-69</c:v>
                </c:pt>
                <c:pt idx="21">
                  <c:v>-106</c:v>
                </c:pt>
                <c:pt idx="22">
                  <c:v>505</c:v>
                </c:pt>
                <c:pt idx="23">
                  <c:v>574</c:v>
                </c:pt>
                <c:pt idx="24">
                  <c:v>1309</c:v>
                </c:pt>
                <c:pt idx="25">
                  <c:v>2725</c:v>
                </c:pt>
                <c:pt idx="26">
                  <c:v>3824</c:v>
                </c:pt>
                <c:pt idx="27">
                  <c:v>4853</c:v>
                </c:pt>
                <c:pt idx="28">
                  <c:v>5849</c:v>
                </c:pt>
                <c:pt idx="29">
                  <c:v>6758</c:v>
                </c:pt>
                <c:pt idx="30">
                  <c:v>7527</c:v>
                </c:pt>
                <c:pt idx="31">
                  <c:v>7809</c:v>
                </c:pt>
                <c:pt idx="32">
                  <c:v>8449</c:v>
                </c:pt>
                <c:pt idx="33">
                  <c:v>8900</c:v>
                </c:pt>
                <c:pt idx="34">
                  <c:v>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EBD-0549-9981-0A50F240DCD3}"/>
            </c:ext>
          </c:extLst>
        </c:ser>
        <c:ser>
          <c:idx val="23"/>
          <c:order val="16"/>
          <c:tx>
            <c:strRef>
              <c:f>'By Date'!$A$18</c:f>
              <c:strCache>
                <c:ptCount val="1"/>
                <c:pt idx="0">
                  <c:v>Kuerten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Date'!$A$1:$BE$1</c:f>
              <c:strCache>
                <c:ptCount val="57"/>
                <c:pt idx="0">
                  <c:v>Year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strCache>
            </c:strRef>
          </c:cat>
          <c:val>
            <c:numRef>
              <c:f>'By Date'!$B$18:$BE$18</c:f>
              <c:numCache>
                <c:formatCode>General</c:formatCode>
                <c:ptCount val="56"/>
                <c:pt idx="28">
                  <c:v>-10</c:v>
                </c:pt>
                <c:pt idx="29">
                  <c:v>399</c:v>
                </c:pt>
                <c:pt idx="30">
                  <c:v>82</c:v>
                </c:pt>
                <c:pt idx="31">
                  <c:v>266</c:v>
                </c:pt>
                <c:pt idx="32">
                  <c:v>563</c:v>
                </c:pt>
                <c:pt idx="33">
                  <c:v>1118</c:v>
                </c:pt>
                <c:pt idx="34">
                  <c:v>1314</c:v>
                </c:pt>
                <c:pt idx="35">
                  <c:v>1120</c:v>
                </c:pt>
                <c:pt idx="36">
                  <c:v>1258</c:v>
                </c:pt>
                <c:pt idx="37">
                  <c:v>1175</c:v>
                </c:pt>
                <c:pt idx="38">
                  <c:v>1175</c:v>
                </c:pt>
                <c:pt idx="39">
                  <c:v>1175</c:v>
                </c:pt>
                <c:pt idx="40">
                  <c:v>1157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EBD-0549-9981-0A50F240DCD3}"/>
            </c:ext>
          </c:extLst>
        </c:ser>
        <c:ser>
          <c:idx val="24"/>
          <c:order val="17"/>
          <c:tx>
            <c:strRef>
              <c:f>'By Date'!$A$19</c:f>
              <c:strCache>
                <c:ptCount val="1"/>
                <c:pt idx="0">
                  <c:v>Hewitt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Date'!$A$1:$BE$1</c:f>
              <c:strCache>
                <c:ptCount val="57"/>
                <c:pt idx="0">
                  <c:v>Year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strCache>
            </c:strRef>
          </c:cat>
          <c:val>
            <c:numRef>
              <c:f>'By Date'!$B$19:$BE$19</c:f>
              <c:numCache>
                <c:formatCode>General</c:formatCode>
                <c:ptCount val="56"/>
                <c:pt idx="29">
                  <c:v>-64</c:v>
                </c:pt>
                <c:pt idx="30">
                  <c:v>-118</c:v>
                </c:pt>
                <c:pt idx="31">
                  <c:v>-136</c:v>
                </c:pt>
                <c:pt idx="32">
                  <c:v>206</c:v>
                </c:pt>
                <c:pt idx="33">
                  <c:v>903</c:v>
                </c:pt>
                <c:pt idx="34">
                  <c:v>1592</c:v>
                </c:pt>
                <c:pt idx="35">
                  <c:v>1758</c:v>
                </c:pt>
                <c:pt idx="36">
                  <c:v>2544</c:v>
                </c:pt>
                <c:pt idx="37">
                  <c:v>3421</c:v>
                </c:pt>
                <c:pt idx="38">
                  <c:v>3864</c:v>
                </c:pt>
                <c:pt idx="39">
                  <c:v>4098</c:v>
                </c:pt>
                <c:pt idx="40">
                  <c:v>4431</c:v>
                </c:pt>
                <c:pt idx="41">
                  <c:v>4726</c:v>
                </c:pt>
                <c:pt idx="42">
                  <c:v>4877</c:v>
                </c:pt>
                <c:pt idx="43">
                  <c:v>4893</c:v>
                </c:pt>
                <c:pt idx="44">
                  <c:v>5020</c:v>
                </c:pt>
                <c:pt idx="45">
                  <c:v>5062</c:v>
                </c:pt>
                <c:pt idx="46">
                  <c:v>4971</c:v>
                </c:pt>
                <c:pt idx="47">
                  <c:v>4816</c:v>
                </c:pt>
                <c:pt idx="48">
                  <c:v>4809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EBD-0549-9981-0A50F240DCD3}"/>
            </c:ext>
          </c:extLst>
        </c:ser>
        <c:ser>
          <c:idx val="3"/>
          <c:order val="18"/>
          <c:tx>
            <c:strRef>
              <c:f>'By Date'!$A$20</c:f>
              <c:strCache>
                <c:ptCount val="1"/>
                <c:pt idx="0">
                  <c:v>Federer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Date'!$A$1:$BE$1</c:f>
              <c:strCache>
                <c:ptCount val="57"/>
                <c:pt idx="0">
                  <c:v>Year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strCache>
            </c:strRef>
          </c:cat>
          <c:val>
            <c:numRef>
              <c:f>'By Date'!$B$20:$BE$20</c:f>
              <c:numCache>
                <c:formatCode>General</c:formatCode>
                <c:ptCount val="56"/>
                <c:pt idx="31">
                  <c:v>-61</c:v>
                </c:pt>
                <c:pt idx="32">
                  <c:v>-44</c:v>
                </c:pt>
                <c:pt idx="33">
                  <c:v>422</c:v>
                </c:pt>
                <c:pt idx="34">
                  <c:v>394</c:v>
                </c:pt>
                <c:pt idx="35">
                  <c:v>888</c:v>
                </c:pt>
                <c:pt idx="36">
                  <c:v>2185</c:v>
                </c:pt>
                <c:pt idx="37">
                  <c:v>3601</c:v>
                </c:pt>
                <c:pt idx="38">
                  <c:v>5278</c:v>
                </c:pt>
                <c:pt idx="39">
                  <c:v>7128</c:v>
                </c:pt>
                <c:pt idx="40">
                  <c:v>8470</c:v>
                </c:pt>
                <c:pt idx="41">
                  <c:v>10329</c:v>
                </c:pt>
                <c:pt idx="42">
                  <c:v>11412</c:v>
                </c:pt>
                <c:pt idx="43">
                  <c:v>12686</c:v>
                </c:pt>
                <c:pt idx="44">
                  <c:v>13670</c:v>
                </c:pt>
                <c:pt idx="45">
                  <c:v>14260</c:v>
                </c:pt>
                <c:pt idx="46">
                  <c:v>15181</c:v>
                </c:pt>
                <c:pt idx="47">
                  <c:v>16256</c:v>
                </c:pt>
                <c:pt idx="48">
                  <c:v>16826</c:v>
                </c:pt>
                <c:pt idx="49">
                  <c:v>17969</c:v>
                </c:pt>
                <c:pt idx="50">
                  <c:v>18666</c:v>
                </c:pt>
                <c:pt idx="51">
                  <c:v>19277</c:v>
                </c:pt>
                <c:pt idx="52">
                  <c:v>19466</c:v>
                </c:pt>
                <c:pt idx="53">
                  <c:v>19808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EBD-0549-9981-0A50F240DCD3}"/>
            </c:ext>
          </c:extLst>
        </c:ser>
        <c:ser>
          <c:idx val="25"/>
          <c:order val="19"/>
          <c:tx>
            <c:strRef>
              <c:f>'By Date'!$A$21</c:f>
              <c:strCache>
                <c:ptCount val="1"/>
                <c:pt idx="0">
                  <c:v>Roddick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Date'!$A$1:$BE$1</c:f>
              <c:strCache>
                <c:ptCount val="57"/>
                <c:pt idx="0">
                  <c:v>Year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strCache>
            </c:strRef>
          </c:cat>
          <c:val>
            <c:numRef>
              <c:f>'By Date'!$B$21:$BE$21</c:f>
              <c:numCache>
                <c:formatCode>General</c:formatCode>
                <c:ptCount val="56"/>
                <c:pt idx="32">
                  <c:v>-24</c:v>
                </c:pt>
                <c:pt idx="33">
                  <c:v>182</c:v>
                </c:pt>
                <c:pt idx="34">
                  <c:v>336</c:v>
                </c:pt>
                <c:pt idx="35">
                  <c:v>1287</c:v>
                </c:pt>
                <c:pt idx="36">
                  <c:v>1799</c:v>
                </c:pt>
                <c:pt idx="37">
                  <c:v>2260</c:v>
                </c:pt>
                <c:pt idx="38">
                  <c:v>2470</c:v>
                </c:pt>
                <c:pt idx="39">
                  <c:v>2943</c:v>
                </c:pt>
                <c:pt idx="40">
                  <c:v>3226</c:v>
                </c:pt>
                <c:pt idx="41">
                  <c:v>3944</c:v>
                </c:pt>
                <c:pt idx="42">
                  <c:v>4138</c:v>
                </c:pt>
                <c:pt idx="43">
                  <c:v>4283</c:v>
                </c:pt>
                <c:pt idx="44">
                  <c:v>4240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EBD-0549-9981-0A50F240DCD3}"/>
            </c:ext>
          </c:extLst>
        </c:ser>
        <c:ser>
          <c:idx val="4"/>
          <c:order val="20"/>
          <c:tx>
            <c:strRef>
              <c:f>'By Date'!$A$22</c:f>
              <c:strCache>
                <c:ptCount val="1"/>
                <c:pt idx="0">
                  <c:v>Nadal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'By Date'!$A$1:$BE$1</c:f>
              <c:strCache>
                <c:ptCount val="57"/>
                <c:pt idx="0">
                  <c:v>Year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strCache>
            </c:strRef>
          </c:cat>
          <c:val>
            <c:numRef>
              <c:f>'By Date'!$B$22:$BE$22</c:f>
              <c:numCache>
                <c:formatCode>General</c:formatCode>
                <c:ptCount val="56"/>
                <c:pt idx="35">
                  <c:v>32</c:v>
                </c:pt>
                <c:pt idx="36">
                  <c:v>30</c:v>
                </c:pt>
                <c:pt idx="37">
                  <c:v>588</c:v>
                </c:pt>
                <c:pt idx="38">
                  <c:v>1323</c:v>
                </c:pt>
                <c:pt idx="39">
                  <c:v>2546</c:v>
                </c:pt>
                <c:pt idx="40">
                  <c:v>3817</c:v>
                </c:pt>
                <c:pt idx="41">
                  <c:v>4657</c:v>
                </c:pt>
                <c:pt idx="42">
                  <c:v>6331</c:v>
                </c:pt>
                <c:pt idx="43">
                  <c:v>7547</c:v>
                </c:pt>
                <c:pt idx="44">
                  <c:v>8249</c:v>
                </c:pt>
                <c:pt idx="45">
                  <c:v>9166</c:v>
                </c:pt>
                <c:pt idx="46">
                  <c:v>10030</c:v>
                </c:pt>
                <c:pt idx="47">
                  <c:v>10287</c:v>
                </c:pt>
                <c:pt idx="48">
                  <c:v>10231</c:v>
                </c:pt>
                <c:pt idx="49">
                  <c:v>11671</c:v>
                </c:pt>
                <c:pt idx="50">
                  <c:v>12766</c:v>
                </c:pt>
                <c:pt idx="51">
                  <c:v>14128</c:v>
                </c:pt>
                <c:pt idx="52">
                  <c:v>14666</c:v>
                </c:pt>
                <c:pt idx="53">
                  <c:v>15161</c:v>
                </c:pt>
                <c:pt idx="54">
                  <c:v>16496</c:v>
                </c:pt>
                <c:pt idx="55">
                  <c:v>16493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EBD-0549-9981-0A50F240DCD3}"/>
            </c:ext>
          </c:extLst>
        </c:ser>
        <c:ser>
          <c:idx val="26"/>
          <c:order val="21"/>
          <c:tx>
            <c:strRef>
              <c:f>'By Date'!$A$23</c:f>
              <c:strCache>
                <c:ptCount val="1"/>
                <c:pt idx="0">
                  <c:v>Djokovic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Date'!$A$1:$BE$1</c:f>
              <c:strCache>
                <c:ptCount val="57"/>
                <c:pt idx="0">
                  <c:v>Year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strCache>
            </c:strRef>
          </c:cat>
          <c:val>
            <c:numRef>
              <c:f>'By Date'!$B$23:$BE$23</c:f>
              <c:numCache>
                <c:formatCode>General</c:formatCode>
                <c:ptCount val="56"/>
                <c:pt idx="37">
                  <c:v>146</c:v>
                </c:pt>
                <c:pt idx="38">
                  <c:v>585</c:v>
                </c:pt>
                <c:pt idx="39">
                  <c:v>1428</c:v>
                </c:pt>
                <c:pt idx="40">
                  <c:v>2283</c:v>
                </c:pt>
                <c:pt idx="41">
                  <c:v>2665</c:v>
                </c:pt>
                <c:pt idx="42">
                  <c:v>3434</c:v>
                </c:pt>
                <c:pt idx="43">
                  <c:v>5290</c:v>
                </c:pt>
                <c:pt idx="44">
                  <c:v>6724</c:v>
                </c:pt>
                <c:pt idx="45">
                  <c:v>8329</c:v>
                </c:pt>
                <c:pt idx="46">
                  <c:v>9772</c:v>
                </c:pt>
                <c:pt idx="47">
                  <c:v>11678</c:v>
                </c:pt>
                <c:pt idx="48">
                  <c:v>13010</c:v>
                </c:pt>
                <c:pt idx="49">
                  <c:v>13282</c:v>
                </c:pt>
                <c:pt idx="50">
                  <c:v>14472</c:v>
                </c:pt>
                <c:pt idx="51">
                  <c:v>15647</c:v>
                </c:pt>
                <c:pt idx="52">
                  <c:v>16586</c:v>
                </c:pt>
                <c:pt idx="53">
                  <c:v>18104</c:v>
                </c:pt>
                <c:pt idx="54">
                  <c:v>18665</c:v>
                </c:pt>
                <c:pt idx="55">
                  <c:v>20305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EBD-0549-9981-0A50F240D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1660704"/>
        <c:axId val="-1409796848"/>
      </c:lineChart>
      <c:dateAx>
        <c:axId val="-1501660704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796848"/>
        <c:crosses val="autoZero"/>
        <c:auto val="0"/>
        <c:lblOffset val="100"/>
        <c:baseTimeUnit val="days"/>
        <c:majorUnit val="2"/>
      </c:dateAx>
      <c:valAx>
        <c:axId val="-140979684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166070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'A1'!$A$2</c:f>
              <c:strCache>
                <c:ptCount val="1"/>
                <c:pt idx="0">
                  <c:v>Federer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'A1'!$B$1:$T$1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'A1'!$B$2:$T$2</c:f>
              <c:numCache>
                <c:formatCode>General</c:formatCode>
                <c:ptCount val="19"/>
                <c:pt idx="0">
                  <c:v>9</c:v>
                </c:pt>
                <c:pt idx="1">
                  <c:v>87</c:v>
                </c:pt>
                <c:pt idx="2">
                  <c:v>152</c:v>
                </c:pt>
                <c:pt idx="3">
                  <c:v>184</c:v>
                </c:pt>
                <c:pt idx="4">
                  <c:v>525</c:v>
                </c:pt>
                <c:pt idx="5">
                  <c:v>699</c:v>
                </c:pt>
                <c:pt idx="6">
                  <c:v>1130</c:v>
                </c:pt>
                <c:pt idx="7">
                  <c:v>1686</c:v>
                </c:pt>
                <c:pt idx="8">
                  <c:v>1994</c:v>
                </c:pt>
                <c:pt idx="9">
                  <c:v>2428</c:v>
                </c:pt>
                <c:pt idx="10">
                  <c:v>3020</c:v>
                </c:pt>
                <c:pt idx="11">
                  <c:v>3326</c:v>
                </c:pt>
                <c:pt idx="12">
                  <c:v>3539</c:v>
                </c:pt>
                <c:pt idx="13">
                  <c:v>3907</c:v>
                </c:pt>
                <c:pt idx="14">
                  <c:v>4135</c:v>
                </c:pt>
                <c:pt idx="15">
                  <c:v>4194</c:v>
                </c:pt>
                <c:pt idx="16">
                  <c:v>4531</c:v>
                </c:pt>
                <c:pt idx="17">
                  <c:v>5005</c:v>
                </c:pt>
                <c:pt idx="18">
                  <c:v>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1-4C45-82DD-740FDEF70C0A}"/>
            </c:ext>
          </c:extLst>
        </c:ser>
        <c:ser>
          <c:idx val="1"/>
          <c:order val="1"/>
          <c:tx>
            <c:strRef>
              <c:f>'A1'!$A$3</c:f>
              <c:strCache>
                <c:ptCount val="1"/>
                <c:pt idx="0">
                  <c:v>Nadal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'A1'!$B$1:$T$1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'A1'!$B$3:$T$3</c:f>
              <c:numCache>
                <c:formatCode>General</c:formatCode>
                <c:ptCount val="19"/>
                <c:pt idx="0">
                  <c:v>-1</c:v>
                </c:pt>
                <c:pt idx="1">
                  <c:v>117</c:v>
                </c:pt>
                <c:pt idx="2">
                  <c:v>320</c:v>
                </c:pt>
                <c:pt idx="3">
                  <c:v>503</c:v>
                </c:pt>
                <c:pt idx="4">
                  <c:v>972</c:v>
                </c:pt>
                <c:pt idx="5">
                  <c:v>1176</c:v>
                </c:pt>
                <c:pt idx="6">
                  <c:v>1283</c:v>
                </c:pt>
                <c:pt idx="7">
                  <c:v>1587</c:v>
                </c:pt>
                <c:pt idx="8">
                  <c:v>1984</c:v>
                </c:pt>
                <c:pt idx="9">
                  <c:v>2136</c:v>
                </c:pt>
                <c:pt idx="10">
                  <c:v>2091</c:v>
                </c:pt>
                <c:pt idx="11">
                  <c:v>2571</c:v>
                </c:pt>
                <c:pt idx="12">
                  <c:v>2802</c:v>
                </c:pt>
                <c:pt idx="13">
                  <c:v>3147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1-4C45-82DD-740FDEF70C0A}"/>
            </c:ext>
          </c:extLst>
        </c:ser>
        <c:ser>
          <c:idx val="2"/>
          <c:order val="2"/>
          <c:tx>
            <c:strRef>
              <c:f>'A1'!$A$4</c:f>
              <c:strCache>
                <c:ptCount val="1"/>
                <c:pt idx="0">
                  <c:v>Sampras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'A1'!$B$1:$T$1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'A1'!$B$4:$T$4</c:f>
              <c:numCache>
                <c:formatCode>General</c:formatCode>
                <c:ptCount val="19"/>
                <c:pt idx="0">
                  <c:v>-81</c:v>
                </c:pt>
                <c:pt idx="1">
                  <c:v>68</c:v>
                </c:pt>
                <c:pt idx="2">
                  <c:v>341</c:v>
                </c:pt>
                <c:pt idx="3">
                  <c:v>819</c:v>
                </c:pt>
                <c:pt idx="4">
                  <c:v>1125</c:v>
                </c:pt>
                <c:pt idx="5">
                  <c:v>1097</c:v>
                </c:pt>
                <c:pt idx="6">
                  <c:v>1556</c:v>
                </c:pt>
                <c:pt idx="7">
                  <c:v>1712</c:v>
                </c:pt>
                <c:pt idx="8">
                  <c:v>1834</c:v>
                </c:pt>
                <c:pt idx="9">
                  <c:v>1884</c:v>
                </c:pt>
                <c:pt idx="10">
                  <c:v>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D1-4C45-82DD-740FDEF70C0A}"/>
            </c:ext>
          </c:extLst>
        </c:ser>
        <c:ser>
          <c:idx val="3"/>
          <c:order val="3"/>
          <c:tx>
            <c:strRef>
              <c:f>'A1'!$A$5</c:f>
              <c:strCache>
                <c:ptCount val="1"/>
                <c:pt idx="0">
                  <c:v>Djokovic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'A1'!$B$1:$T$1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'A1'!$B$5:$T$5</c:f>
              <c:numCache>
                <c:formatCode>General</c:formatCode>
                <c:ptCount val="19"/>
                <c:pt idx="0">
                  <c:v>-4</c:v>
                </c:pt>
                <c:pt idx="1">
                  <c:v>-72</c:v>
                </c:pt>
                <c:pt idx="2">
                  <c:v>6</c:v>
                </c:pt>
                <c:pt idx="3">
                  <c:v>480</c:v>
                </c:pt>
                <c:pt idx="4">
                  <c:v>520</c:v>
                </c:pt>
                <c:pt idx="5">
                  <c:v>603</c:v>
                </c:pt>
                <c:pt idx="6">
                  <c:v>1174</c:v>
                </c:pt>
                <c:pt idx="7">
                  <c:v>1578</c:v>
                </c:pt>
                <c:pt idx="8">
                  <c:v>2148</c:v>
                </c:pt>
                <c:pt idx="9">
                  <c:v>2292</c:v>
                </c:pt>
                <c:pt idx="10">
                  <c:v>2764</c:v>
                </c:pt>
                <c:pt idx="11">
                  <c:v>3309</c:v>
                </c:pt>
                <c:pt idx="12">
                  <c:v>3270</c:v>
                </c:pt>
                <c:pt idx="13">
                  <c:v>3389</c:v>
                </c:pt>
                <c:pt idx="14">
                  <c:v>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D1-4C45-82DD-740FDEF70C0A}"/>
            </c:ext>
          </c:extLst>
        </c:ser>
        <c:ser>
          <c:idx val="4"/>
          <c:order val="4"/>
          <c:tx>
            <c:strRef>
              <c:f>'A1'!$A$6</c:f>
              <c:strCache>
                <c:ptCount val="1"/>
                <c:pt idx="0">
                  <c:v>Borg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'A1'!$B$1:$T$1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'A1'!$B$6:$T$6</c:f>
              <c:numCache>
                <c:formatCode>General</c:formatCode>
                <c:ptCount val="19"/>
                <c:pt idx="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D1-4C45-82DD-740FDEF70C0A}"/>
            </c:ext>
          </c:extLst>
        </c:ser>
        <c:ser>
          <c:idx val="5"/>
          <c:order val="5"/>
          <c:tx>
            <c:strRef>
              <c:f>'A1'!$A$7</c:f>
              <c:strCache>
                <c:ptCount val="1"/>
                <c:pt idx="0">
                  <c:v>Connors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'A1'!$B$1:$T$1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'A1'!$B$7:$T$7</c:f>
              <c:numCache>
                <c:formatCode>General</c:formatCode>
                <c:ptCount val="19"/>
                <c:pt idx="0">
                  <c:v>254</c:v>
                </c:pt>
                <c:pt idx="1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D1-4C45-82DD-740FDEF70C0A}"/>
            </c:ext>
          </c:extLst>
        </c:ser>
        <c:ser>
          <c:idx val="6"/>
          <c:order val="6"/>
          <c:tx>
            <c:strRef>
              <c:f>'A1'!$A$8</c:f>
              <c:strCache>
                <c:ptCount val="1"/>
                <c:pt idx="0">
                  <c:v>Lendl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'A1'!$B$1:$T$1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'A1'!$B$8:$T$8</c:f>
              <c:numCache>
                <c:formatCode>General</c:formatCode>
                <c:ptCount val="19"/>
                <c:pt idx="0">
                  <c:v>42</c:v>
                </c:pt>
                <c:pt idx="1">
                  <c:v>383</c:v>
                </c:pt>
                <c:pt idx="2">
                  <c:v>509</c:v>
                </c:pt>
                <c:pt idx="3">
                  <c:v>642</c:v>
                </c:pt>
                <c:pt idx="4">
                  <c:v>783</c:v>
                </c:pt>
                <c:pt idx="5">
                  <c:v>934</c:v>
                </c:pt>
                <c:pt idx="6">
                  <c:v>1378</c:v>
                </c:pt>
                <c:pt idx="7">
                  <c:v>1743</c:v>
                </c:pt>
                <c:pt idx="8">
                  <c:v>2114</c:v>
                </c:pt>
                <c:pt idx="9">
                  <c:v>2248</c:v>
                </c:pt>
                <c:pt idx="10">
                  <c:v>2186</c:v>
                </c:pt>
                <c:pt idx="11">
                  <c:v>2365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D1-4C45-82DD-740FDEF70C0A}"/>
            </c:ext>
          </c:extLst>
        </c:ser>
        <c:ser>
          <c:idx val="7"/>
          <c:order val="7"/>
          <c:tx>
            <c:strRef>
              <c:f>'A1'!$A$9</c:f>
              <c:strCache>
                <c:ptCount val="1"/>
                <c:pt idx="0">
                  <c:v>Agassi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'A1'!$B$1:$T$1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'A1'!$B$9:$T$9</c:f>
              <c:numCache>
                <c:formatCode>General</c:formatCode>
                <c:ptCount val="19"/>
                <c:pt idx="0">
                  <c:v>376</c:v>
                </c:pt>
                <c:pt idx="1">
                  <c:v>557</c:v>
                </c:pt>
                <c:pt idx="2">
                  <c:v>656</c:v>
                </c:pt>
                <c:pt idx="3">
                  <c:v>680</c:v>
                </c:pt>
                <c:pt idx="4">
                  <c:v>1189</c:v>
                </c:pt>
                <c:pt idx="5">
                  <c:v>1612</c:v>
                </c:pt>
                <c:pt idx="6">
                  <c:v>2050</c:v>
                </c:pt>
                <c:pt idx="7">
                  <c:v>2168</c:v>
                </c:pt>
                <c:pt idx="8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D1-4C45-82DD-740FDEF70C0A}"/>
            </c:ext>
          </c:extLst>
        </c:ser>
        <c:ser>
          <c:idx val="8"/>
          <c:order val="8"/>
          <c:tx>
            <c:strRef>
              <c:f>'A1'!$A$10</c:f>
              <c:strCache>
                <c:ptCount val="1"/>
                <c:pt idx="0">
                  <c:v>McEnroe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'A1'!$B$1:$T$1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'A1'!$B$10:$T$10</c:f>
              <c:numCache>
                <c:formatCode>General</c:formatCode>
                <c:ptCount val="19"/>
                <c:pt idx="0">
                  <c:v>131</c:v>
                </c:pt>
                <c:pt idx="1">
                  <c:v>196</c:v>
                </c:pt>
                <c:pt idx="2">
                  <c:v>334</c:v>
                </c:pt>
                <c:pt idx="3">
                  <c:v>340</c:v>
                </c:pt>
                <c:pt idx="4">
                  <c:v>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D1-4C45-82DD-740FDEF70C0A}"/>
            </c:ext>
          </c:extLst>
        </c:ser>
        <c:ser>
          <c:idx val="9"/>
          <c:order val="9"/>
          <c:tx>
            <c:strRef>
              <c:f>'A1'!$A$11</c:f>
              <c:strCache>
                <c:ptCount val="1"/>
                <c:pt idx="0">
                  <c:v>Wilander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'A1'!$B$1:$T$1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'A1'!$B$11:$T$11</c:f>
              <c:numCache>
                <c:formatCode>General</c:formatCode>
                <c:ptCount val="19"/>
                <c:pt idx="0">
                  <c:v>-99</c:v>
                </c:pt>
                <c:pt idx="1">
                  <c:v>405</c:v>
                </c:pt>
                <c:pt idx="2">
                  <c:v>741</c:v>
                </c:pt>
                <c:pt idx="3">
                  <c:v>984</c:v>
                </c:pt>
                <c:pt idx="4">
                  <c:v>1404</c:v>
                </c:pt>
                <c:pt idx="5">
                  <c:v>1354</c:v>
                </c:pt>
                <c:pt idx="6">
                  <c:v>1547</c:v>
                </c:pt>
                <c:pt idx="7">
                  <c:v>1556</c:v>
                </c:pt>
                <c:pt idx="8">
                  <c:v>1533</c:v>
                </c:pt>
                <c:pt idx="9">
                  <c:v>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D1-4C45-82DD-740FDEF70C0A}"/>
            </c:ext>
          </c:extLst>
        </c:ser>
        <c:ser>
          <c:idx val="10"/>
          <c:order val="10"/>
          <c:tx>
            <c:strRef>
              <c:f>'A1'!$A$12</c:f>
              <c:strCache>
                <c:ptCount val="1"/>
                <c:pt idx="0">
                  <c:v>Edberg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'A1'!$B$1:$T$1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'A1'!$B$12:$T$12</c:f>
              <c:numCache>
                <c:formatCode>General</c:formatCode>
                <c:ptCount val="19"/>
                <c:pt idx="0">
                  <c:v>-97</c:v>
                </c:pt>
                <c:pt idx="1">
                  <c:v>-50</c:v>
                </c:pt>
                <c:pt idx="2">
                  <c:v>326</c:v>
                </c:pt>
                <c:pt idx="3">
                  <c:v>678</c:v>
                </c:pt>
                <c:pt idx="4">
                  <c:v>813</c:v>
                </c:pt>
                <c:pt idx="5">
                  <c:v>961</c:v>
                </c:pt>
                <c:pt idx="6">
                  <c:v>1247</c:v>
                </c:pt>
                <c:pt idx="7">
                  <c:v>1389</c:v>
                </c:pt>
                <c:pt idx="8">
                  <c:v>1636</c:v>
                </c:pt>
                <c:pt idx="9">
                  <c:v>1958</c:v>
                </c:pt>
                <c:pt idx="10">
                  <c:v>2206</c:v>
                </c:pt>
                <c:pt idx="11">
                  <c:v>2202</c:v>
                </c:pt>
                <c:pt idx="12">
                  <c:v>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D1-4C45-82DD-740FDEF70C0A}"/>
            </c:ext>
          </c:extLst>
        </c:ser>
        <c:ser>
          <c:idx val="11"/>
          <c:order val="11"/>
          <c:tx>
            <c:strRef>
              <c:f>'A1'!$A$13</c:f>
              <c:strCache>
                <c:ptCount val="1"/>
                <c:pt idx="0">
                  <c:v>Becker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'A1'!$B$1:$T$1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'A1'!$B$13:$T$13</c:f>
              <c:numCache>
                <c:formatCode>General</c:formatCode>
                <c:ptCount val="19"/>
                <c:pt idx="0">
                  <c:v>168</c:v>
                </c:pt>
                <c:pt idx="1">
                  <c:v>70</c:v>
                </c:pt>
                <c:pt idx="2">
                  <c:v>98</c:v>
                </c:pt>
                <c:pt idx="3">
                  <c:v>94</c:v>
                </c:pt>
                <c:pt idx="4">
                  <c:v>268</c:v>
                </c:pt>
                <c:pt idx="5">
                  <c:v>585</c:v>
                </c:pt>
                <c:pt idx="6">
                  <c:v>589</c:v>
                </c:pt>
                <c:pt idx="7">
                  <c:v>490</c:v>
                </c:pt>
                <c:pt idx="8">
                  <c:v>425</c:v>
                </c:pt>
                <c:pt idx="9">
                  <c:v>909</c:v>
                </c:pt>
                <c:pt idx="10">
                  <c:v>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D1-4C45-82DD-740FDEF70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6729504"/>
        <c:axId val="-1456727600"/>
      </c:lineChart>
      <c:catAx>
        <c:axId val="-14567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727600"/>
        <c:crosses val="autoZero"/>
        <c:auto val="1"/>
        <c:lblAlgn val="ctr"/>
        <c:lblOffset val="100"/>
        <c:noMultiLvlLbl val="0"/>
      </c:catAx>
      <c:valAx>
        <c:axId val="-14567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7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'F1'!$A$2</c:f>
              <c:strCache>
                <c:ptCount val="1"/>
                <c:pt idx="0">
                  <c:v>Federer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'F1'!$B$1:$R$1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'F1'!$B$2:$R$2</c:f>
              <c:numCache>
                <c:formatCode>General</c:formatCode>
                <c:ptCount val="17"/>
                <c:pt idx="0">
                  <c:v>-3</c:v>
                </c:pt>
                <c:pt idx="1">
                  <c:v>20</c:v>
                </c:pt>
                <c:pt idx="2">
                  <c:v>71</c:v>
                </c:pt>
                <c:pt idx="3">
                  <c:v>26</c:v>
                </c:pt>
                <c:pt idx="4">
                  <c:v>-62</c:v>
                </c:pt>
                <c:pt idx="5">
                  <c:v>-23</c:v>
                </c:pt>
                <c:pt idx="6">
                  <c:v>189</c:v>
                </c:pt>
                <c:pt idx="7">
                  <c:v>552</c:v>
                </c:pt>
                <c:pt idx="8">
                  <c:v>930</c:v>
                </c:pt>
                <c:pt idx="9">
                  <c:v>1274</c:v>
                </c:pt>
                <c:pt idx="10">
                  <c:v>1747</c:v>
                </c:pt>
                <c:pt idx="11">
                  <c:v>1896</c:v>
                </c:pt>
                <c:pt idx="12">
                  <c:v>2330</c:v>
                </c:pt>
                <c:pt idx="13">
                  <c:v>2482</c:v>
                </c:pt>
                <c:pt idx="14">
                  <c:v>2643</c:v>
                </c:pt>
                <c:pt idx="15">
                  <c:v>2708</c:v>
                </c:pt>
                <c:pt idx="16">
                  <c:v>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1-CE4E-9941-F4D333B36D70}"/>
            </c:ext>
          </c:extLst>
        </c:ser>
        <c:ser>
          <c:idx val="1"/>
          <c:order val="1"/>
          <c:tx>
            <c:strRef>
              <c:f>'F1'!$A$3</c:f>
              <c:strCache>
                <c:ptCount val="1"/>
                <c:pt idx="0">
                  <c:v>Nadal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'F1'!$B$1:$R$1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'F1'!$B$3:$R$3</c:f>
              <c:numCache>
                <c:formatCode>General</c:formatCode>
                <c:ptCount val="17"/>
                <c:pt idx="0">
                  <c:v>497</c:v>
                </c:pt>
                <c:pt idx="1">
                  <c:v>950</c:v>
                </c:pt>
                <c:pt idx="2">
                  <c:v>1448</c:v>
                </c:pt>
                <c:pt idx="3">
                  <c:v>1929</c:v>
                </c:pt>
                <c:pt idx="4">
                  <c:v>1987</c:v>
                </c:pt>
                <c:pt idx="5">
                  <c:v>2496</c:v>
                </c:pt>
                <c:pt idx="6">
                  <c:v>3011</c:v>
                </c:pt>
                <c:pt idx="7">
                  <c:v>3488</c:v>
                </c:pt>
                <c:pt idx="8">
                  <c:v>4040</c:v>
                </c:pt>
                <c:pt idx="9">
                  <c:v>4472</c:v>
                </c:pt>
                <c:pt idx="10">
                  <c:v>4557</c:v>
                </c:pt>
                <c:pt idx="11">
                  <c:v>4503</c:v>
                </c:pt>
                <c:pt idx="12">
                  <c:v>5053</c:v>
                </c:pt>
                <c:pt idx="13">
                  <c:v>5506</c:v>
                </c:pt>
                <c:pt idx="14">
                  <c:v>5937</c:v>
                </c:pt>
                <c:pt idx="15">
                  <c:v>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1-CE4E-9941-F4D333B36D70}"/>
            </c:ext>
          </c:extLst>
        </c:ser>
        <c:ser>
          <c:idx val="2"/>
          <c:order val="2"/>
          <c:tx>
            <c:strRef>
              <c:f>'F1'!$A$4</c:f>
              <c:strCache>
                <c:ptCount val="1"/>
                <c:pt idx="0">
                  <c:v>Sampras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'F1'!$B$1:$R$1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'F1'!$B$4:$R$4</c:f>
              <c:numCache>
                <c:formatCode>General</c:formatCode>
                <c:ptCount val="17"/>
                <c:pt idx="0">
                  <c:v>-14</c:v>
                </c:pt>
                <c:pt idx="1">
                  <c:v>-48</c:v>
                </c:pt>
                <c:pt idx="2">
                  <c:v>99</c:v>
                </c:pt>
                <c:pt idx="3">
                  <c:v>384</c:v>
                </c:pt>
                <c:pt idx="4">
                  <c:v>465</c:v>
                </c:pt>
                <c:pt idx="5">
                  <c:v>441</c:v>
                </c:pt>
                <c:pt idx="6">
                  <c:v>774</c:v>
                </c:pt>
                <c:pt idx="7">
                  <c:v>821</c:v>
                </c:pt>
                <c:pt idx="8">
                  <c:v>791</c:v>
                </c:pt>
                <c:pt idx="9">
                  <c:v>700</c:v>
                </c:pt>
                <c:pt idx="10">
                  <c:v>675</c:v>
                </c:pt>
                <c:pt idx="11">
                  <c:v>649</c:v>
                </c:pt>
                <c:pt idx="12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1-CE4E-9941-F4D333B36D70}"/>
            </c:ext>
          </c:extLst>
        </c:ser>
        <c:ser>
          <c:idx val="3"/>
          <c:order val="3"/>
          <c:tx>
            <c:strRef>
              <c:f>'F1'!$A$5</c:f>
              <c:strCache>
                <c:ptCount val="1"/>
                <c:pt idx="0">
                  <c:v>Djokovic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'F1'!$B$1:$R$1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'F1'!$B$5:$R$5</c:f>
              <c:numCache>
                <c:formatCode>General</c:formatCode>
                <c:ptCount val="17"/>
                <c:pt idx="0">
                  <c:v>21</c:v>
                </c:pt>
                <c:pt idx="1">
                  <c:v>326</c:v>
                </c:pt>
                <c:pt idx="2">
                  <c:v>417</c:v>
                </c:pt>
                <c:pt idx="3">
                  <c:v>577</c:v>
                </c:pt>
                <c:pt idx="4">
                  <c:v>550</c:v>
                </c:pt>
                <c:pt idx="5">
                  <c:v>637</c:v>
                </c:pt>
                <c:pt idx="6">
                  <c:v>936</c:v>
                </c:pt>
                <c:pt idx="7">
                  <c:v>1239</c:v>
                </c:pt>
                <c:pt idx="8">
                  <c:v>1561</c:v>
                </c:pt>
                <c:pt idx="9">
                  <c:v>2040</c:v>
                </c:pt>
                <c:pt idx="10">
                  <c:v>2392</c:v>
                </c:pt>
                <c:pt idx="11">
                  <c:v>2846</c:v>
                </c:pt>
                <c:pt idx="12">
                  <c:v>3054</c:v>
                </c:pt>
                <c:pt idx="13">
                  <c:v>3151</c:v>
                </c:pt>
                <c:pt idx="14">
                  <c:v>3375</c:v>
                </c:pt>
                <c:pt idx="15">
                  <c:v>3719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1-CE4E-9941-F4D333B36D70}"/>
            </c:ext>
          </c:extLst>
        </c:ser>
        <c:ser>
          <c:idx val="4"/>
          <c:order val="4"/>
          <c:tx>
            <c:strRef>
              <c:f>'F1'!$A$6</c:f>
              <c:strCache>
                <c:ptCount val="1"/>
                <c:pt idx="0">
                  <c:v>Borg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'F1'!$B$1:$R$1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'F1'!$B$6:$R$6</c:f>
              <c:numCache>
                <c:formatCode>General</c:formatCode>
                <c:ptCount val="17"/>
                <c:pt idx="0">
                  <c:v>171</c:v>
                </c:pt>
                <c:pt idx="1">
                  <c:v>520</c:v>
                </c:pt>
                <c:pt idx="2">
                  <c:v>948</c:v>
                </c:pt>
                <c:pt idx="3">
                  <c:v>1082</c:v>
                </c:pt>
                <c:pt idx="4">
                  <c:v>1566</c:v>
                </c:pt>
                <c:pt idx="5">
                  <c:v>1880</c:v>
                </c:pt>
                <c:pt idx="6">
                  <c:v>2349</c:v>
                </c:pt>
                <c:pt idx="7">
                  <c:v>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01-CE4E-9941-F4D333B36D70}"/>
            </c:ext>
          </c:extLst>
        </c:ser>
        <c:ser>
          <c:idx val="5"/>
          <c:order val="5"/>
          <c:tx>
            <c:strRef>
              <c:f>'F1'!$A$7</c:f>
              <c:strCache>
                <c:ptCount val="1"/>
                <c:pt idx="0">
                  <c:v>Connors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'F1'!$B$1:$R$1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'F1'!$B$7:$R$7</c:f>
              <c:numCache>
                <c:formatCode>General</c:formatCode>
                <c:ptCount val="17"/>
                <c:pt idx="0">
                  <c:v>-40</c:v>
                </c:pt>
                <c:pt idx="1">
                  <c:v>-90</c:v>
                </c:pt>
                <c:pt idx="2">
                  <c:v>188</c:v>
                </c:pt>
                <c:pt idx="3">
                  <c:v>433</c:v>
                </c:pt>
                <c:pt idx="4">
                  <c:v>563</c:v>
                </c:pt>
                <c:pt idx="5">
                  <c:v>734</c:v>
                </c:pt>
                <c:pt idx="6">
                  <c:v>889</c:v>
                </c:pt>
                <c:pt idx="7">
                  <c:v>1069</c:v>
                </c:pt>
                <c:pt idx="8">
                  <c:v>1292</c:v>
                </c:pt>
                <c:pt idx="9">
                  <c:v>1304</c:v>
                </c:pt>
                <c:pt idx="10">
                  <c:v>1314</c:v>
                </c:pt>
                <c:pt idx="11">
                  <c:v>1409</c:v>
                </c:pt>
                <c:pt idx="12">
                  <c:v>1405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01-CE4E-9941-F4D333B36D70}"/>
            </c:ext>
          </c:extLst>
        </c:ser>
        <c:ser>
          <c:idx val="6"/>
          <c:order val="6"/>
          <c:tx>
            <c:strRef>
              <c:f>'F1'!$A$8</c:f>
              <c:strCache>
                <c:ptCount val="1"/>
                <c:pt idx="0">
                  <c:v>Lendl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'F1'!$B$1:$R$1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'F1'!$B$8:$R$8</c:f>
              <c:numCache>
                <c:formatCode>General</c:formatCode>
                <c:ptCount val="17"/>
                <c:pt idx="0">
                  <c:v>-99</c:v>
                </c:pt>
                <c:pt idx="1">
                  <c:v>26</c:v>
                </c:pt>
                <c:pt idx="2">
                  <c:v>49</c:v>
                </c:pt>
                <c:pt idx="3">
                  <c:v>468</c:v>
                </c:pt>
                <c:pt idx="4">
                  <c:v>506</c:v>
                </c:pt>
                <c:pt idx="5">
                  <c:v>644</c:v>
                </c:pt>
                <c:pt idx="6">
                  <c:v>1158</c:v>
                </c:pt>
                <c:pt idx="7">
                  <c:v>1492</c:v>
                </c:pt>
                <c:pt idx="8">
                  <c:v>1890</c:v>
                </c:pt>
                <c:pt idx="9">
                  <c:v>2433</c:v>
                </c:pt>
                <c:pt idx="10">
                  <c:v>2550</c:v>
                </c:pt>
                <c:pt idx="11">
                  <c:v>2716</c:v>
                </c:pt>
                <c:pt idx="12">
                  <c:v>2723</c:v>
                </c:pt>
                <c:pt idx="13">
                  <c:v>2624</c:v>
                </c:pt>
                <c:pt idx="14">
                  <c:v>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01-CE4E-9941-F4D333B36D70}"/>
            </c:ext>
          </c:extLst>
        </c:ser>
        <c:ser>
          <c:idx val="7"/>
          <c:order val="7"/>
          <c:tx>
            <c:strRef>
              <c:f>'F1'!$A$9</c:f>
              <c:strCache>
                <c:ptCount val="1"/>
                <c:pt idx="0">
                  <c:v>Agassi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'F1'!$B$1:$R$1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'F1'!$B$9:$R$9</c:f>
              <c:numCache>
                <c:formatCode>General</c:formatCode>
                <c:ptCount val="17"/>
                <c:pt idx="0">
                  <c:v>-91</c:v>
                </c:pt>
                <c:pt idx="1">
                  <c:v>89</c:v>
                </c:pt>
                <c:pt idx="2">
                  <c:v>101</c:v>
                </c:pt>
                <c:pt idx="3">
                  <c:v>382</c:v>
                </c:pt>
                <c:pt idx="4">
                  <c:v>736</c:v>
                </c:pt>
                <c:pt idx="5">
                  <c:v>1045</c:v>
                </c:pt>
                <c:pt idx="6">
                  <c:v>1035</c:v>
                </c:pt>
                <c:pt idx="7">
                  <c:v>1164</c:v>
                </c:pt>
                <c:pt idx="8">
                  <c:v>1093</c:v>
                </c:pt>
                <c:pt idx="9">
                  <c:v>994</c:v>
                </c:pt>
                <c:pt idx="10">
                  <c:v>1294</c:v>
                </c:pt>
                <c:pt idx="11">
                  <c:v>1255</c:v>
                </c:pt>
                <c:pt idx="12">
                  <c:v>1447</c:v>
                </c:pt>
                <c:pt idx="13">
                  <c:v>1559</c:v>
                </c:pt>
                <c:pt idx="14">
                  <c:v>1711</c:v>
                </c:pt>
                <c:pt idx="15">
                  <c:v>1612</c:v>
                </c:pt>
                <c:pt idx="16">
                  <c:v>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01-CE4E-9941-F4D333B36D70}"/>
            </c:ext>
          </c:extLst>
        </c:ser>
        <c:ser>
          <c:idx val="8"/>
          <c:order val="8"/>
          <c:tx>
            <c:strRef>
              <c:f>'F1'!$A$10</c:f>
              <c:strCache>
                <c:ptCount val="1"/>
                <c:pt idx="0">
                  <c:v>McEnroe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'F1'!$B$1:$R$1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'F1'!$B$10:$R$10</c:f>
              <c:numCache>
                <c:formatCode>General</c:formatCode>
                <c:ptCount val="17"/>
                <c:pt idx="0">
                  <c:v>-22</c:v>
                </c:pt>
                <c:pt idx="1">
                  <c:v>-22</c:v>
                </c:pt>
                <c:pt idx="2">
                  <c:v>126</c:v>
                </c:pt>
                <c:pt idx="3">
                  <c:v>244</c:v>
                </c:pt>
                <c:pt idx="4">
                  <c:v>669</c:v>
                </c:pt>
                <c:pt idx="5">
                  <c:v>869</c:v>
                </c:pt>
                <c:pt idx="6">
                  <c:v>820</c:v>
                </c:pt>
                <c:pt idx="7">
                  <c:v>857</c:v>
                </c:pt>
                <c:pt idx="8">
                  <c:v>840</c:v>
                </c:pt>
                <c:pt idx="9">
                  <c:v>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01-CE4E-9941-F4D333B36D70}"/>
            </c:ext>
          </c:extLst>
        </c:ser>
        <c:ser>
          <c:idx val="9"/>
          <c:order val="9"/>
          <c:tx>
            <c:strRef>
              <c:f>'F1'!$A$11</c:f>
              <c:strCache>
                <c:ptCount val="1"/>
                <c:pt idx="0">
                  <c:v>Wilander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'F1'!$B$1:$R$1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'F1'!$B$11:$R$11</c:f>
              <c:numCache>
                <c:formatCode>General</c:formatCode>
                <c:ptCount val="17"/>
                <c:pt idx="0">
                  <c:v>508</c:v>
                </c:pt>
                <c:pt idx="1">
                  <c:v>863</c:v>
                </c:pt>
                <c:pt idx="2">
                  <c:v>1132</c:v>
                </c:pt>
                <c:pt idx="3">
                  <c:v>1628</c:v>
                </c:pt>
                <c:pt idx="4">
                  <c:v>1648</c:v>
                </c:pt>
                <c:pt idx="5">
                  <c:v>2052</c:v>
                </c:pt>
                <c:pt idx="6">
                  <c:v>2517</c:v>
                </c:pt>
                <c:pt idx="7">
                  <c:v>2570</c:v>
                </c:pt>
                <c:pt idx="8">
                  <c:v>2521</c:v>
                </c:pt>
                <c:pt idx="9">
                  <c:v>2502</c:v>
                </c:pt>
                <c:pt idx="10">
                  <c:v>2497</c:v>
                </c:pt>
                <c:pt idx="11">
                  <c:v>2482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01-CE4E-9941-F4D333B36D70}"/>
            </c:ext>
          </c:extLst>
        </c:ser>
        <c:ser>
          <c:idx val="10"/>
          <c:order val="10"/>
          <c:tx>
            <c:strRef>
              <c:f>'F1'!$A$12</c:f>
              <c:strCache>
                <c:ptCount val="1"/>
                <c:pt idx="0">
                  <c:v>Edberg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'F1'!$B$1:$R$1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'F1'!$B$12:$R$12</c:f>
              <c:numCache>
                <c:formatCode>General</c:formatCode>
                <c:ptCount val="17"/>
                <c:pt idx="0">
                  <c:v>47</c:v>
                </c:pt>
                <c:pt idx="1">
                  <c:v>212</c:v>
                </c:pt>
                <c:pt idx="2">
                  <c:v>186</c:v>
                </c:pt>
                <c:pt idx="3">
                  <c:v>88</c:v>
                </c:pt>
                <c:pt idx="4">
                  <c:v>136</c:v>
                </c:pt>
                <c:pt idx="5">
                  <c:v>395</c:v>
                </c:pt>
                <c:pt idx="6">
                  <c:v>349</c:v>
                </c:pt>
                <c:pt idx="7">
                  <c:v>579</c:v>
                </c:pt>
                <c:pt idx="8">
                  <c:v>598</c:v>
                </c:pt>
                <c:pt idx="9">
                  <c:v>725</c:v>
                </c:pt>
                <c:pt idx="10">
                  <c:v>688</c:v>
                </c:pt>
                <c:pt idx="11">
                  <c:v>742</c:v>
                </c:pt>
                <c:pt idx="12">
                  <c:v>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01-CE4E-9941-F4D333B36D70}"/>
            </c:ext>
          </c:extLst>
        </c:ser>
        <c:ser>
          <c:idx val="11"/>
          <c:order val="11"/>
          <c:tx>
            <c:strRef>
              <c:f>'F1'!$A$13</c:f>
              <c:strCache>
                <c:ptCount val="1"/>
                <c:pt idx="0">
                  <c:v>Becker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'F1'!$B$1:$R$1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'F1'!$B$13:$R$13</c:f>
              <c:numCache>
                <c:formatCode>General</c:formatCode>
                <c:ptCount val="17"/>
                <c:pt idx="0">
                  <c:v>73</c:v>
                </c:pt>
                <c:pt idx="1">
                  <c:v>226</c:v>
                </c:pt>
                <c:pt idx="2">
                  <c:v>453</c:v>
                </c:pt>
                <c:pt idx="3">
                  <c:v>589</c:v>
                </c:pt>
                <c:pt idx="4">
                  <c:v>789</c:v>
                </c:pt>
                <c:pt idx="5">
                  <c:v>738</c:v>
                </c:pt>
                <c:pt idx="6">
                  <c:v>1053</c:v>
                </c:pt>
                <c:pt idx="7">
                  <c:v>958</c:v>
                </c:pt>
                <c:pt idx="8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801-CE4E-9941-F4D333B36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6845584"/>
        <c:axId val="-1456843952"/>
      </c:lineChart>
      <c:catAx>
        <c:axId val="-145684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843952"/>
        <c:crosses val="autoZero"/>
        <c:auto val="1"/>
        <c:lblAlgn val="ctr"/>
        <c:lblOffset val="100"/>
        <c:noMultiLvlLbl val="0"/>
      </c:catAx>
      <c:valAx>
        <c:axId val="-14568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84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'W1'!$A$2</c:f>
              <c:strCache>
                <c:ptCount val="1"/>
                <c:pt idx="0">
                  <c:v>Federer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'W1'!$B$1:$U$1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'W1'!$B$2:$U$2</c:f>
              <c:numCache>
                <c:formatCode>General</c:formatCode>
                <c:ptCount val="20"/>
                <c:pt idx="0">
                  <c:v>-58</c:v>
                </c:pt>
                <c:pt idx="1">
                  <c:v>-63</c:v>
                </c:pt>
                <c:pt idx="2">
                  <c:v>171</c:v>
                </c:pt>
                <c:pt idx="3">
                  <c:v>72</c:v>
                </c:pt>
                <c:pt idx="4">
                  <c:v>539</c:v>
                </c:pt>
                <c:pt idx="5">
                  <c:v>911</c:v>
                </c:pt>
                <c:pt idx="6">
                  <c:v>1430</c:v>
                </c:pt>
                <c:pt idx="7">
                  <c:v>1908</c:v>
                </c:pt>
                <c:pt idx="8">
                  <c:v>2443</c:v>
                </c:pt>
                <c:pt idx="9">
                  <c:v>2740</c:v>
                </c:pt>
                <c:pt idx="10">
                  <c:v>3291</c:v>
                </c:pt>
                <c:pt idx="11">
                  <c:v>3428</c:v>
                </c:pt>
                <c:pt idx="12">
                  <c:v>3664</c:v>
                </c:pt>
                <c:pt idx="13">
                  <c:v>4168</c:v>
                </c:pt>
                <c:pt idx="14">
                  <c:v>4121</c:v>
                </c:pt>
                <c:pt idx="15">
                  <c:v>4497</c:v>
                </c:pt>
                <c:pt idx="16">
                  <c:v>4898</c:v>
                </c:pt>
                <c:pt idx="17">
                  <c:v>5131</c:v>
                </c:pt>
                <c:pt idx="18">
                  <c:v>5647</c:v>
                </c:pt>
                <c:pt idx="19">
                  <c:v>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C-A24B-9DE6-C09D4CF84772}"/>
            </c:ext>
          </c:extLst>
        </c:ser>
        <c:ser>
          <c:idx val="1"/>
          <c:order val="1"/>
          <c:tx>
            <c:strRef>
              <c:f>'W1'!$A$3</c:f>
              <c:strCache>
                <c:ptCount val="1"/>
                <c:pt idx="0">
                  <c:v>Nadal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'W1'!$B$1:$U$1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'W1'!$B$3:$U$3</c:f>
              <c:numCache>
                <c:formatCode>General</c:formatCode>
                <c:ptCount val="20"/>
                <c:pt idx="0">
                  <c:v>15</c:v>
                </c:pt>
                <c:pt idx="1">
                  <c:v>7</c:v>
                </c:pt>
                <c:pt idx="2">
                  <c:v>274</c:v>
                </c:pt>
                <c:pt idx="3">
                  <c:v>740</c:v>
                </c:pt>
                <c:pt idx="4">
                  <c:v>1192</c:v>
                </c:pt>
                <c:pt idx="5">
                  <c:v>1623</c:v>
                </c:pt>
                <c:pt idx="6">
                  <c:v>1955</c:v>
                </c:pt>
                <c:pt idx="7">
                  <c:v>1876</c:v>
                </c:pt>
                <c:pt idx="8">
                  <c:v>1777</c:v>
                </c:pt>
                <c:pt idx="9">
                  <c:v>1812</c:v>
                </c:pt>
                <c:pt idx="10">
                  <c:v>1771</c:v>
                </c:pt>
                <c:pt idx="11">
                  <c:v>1883</c:v>
                </c:pt>
                <c:pt idx="12">
                  <c:v>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C-A24B-9DE6-C09D4CF84772}"/>
            </c:ext>
          </c:extLst>
        </c:ser>
        <c:ser>
          <c:idx val="2"/>
          <c:order val="2"/>
          <c:tx>
            <c:strRef>
              <c:f>'W1'!$A$4</c:f>
              <c:strCache>
                <c:ptCount val="1"/>
                <c:pt idx="0">
                  <c:v>Sampras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'W1'!$B$1:$U$1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'W1'!$B$4:$U$4</c:f>
              <c:numCache>
                <c:formatCode>General</c:formatCode>
                <c:ptCount val="20"/>
                <c:pt idx="0">
                  <c:v>-99</c:v>
                </c:pt>
                <c:pt idx="1">
                  <c:v>-140</c:v>
                </c:pt>
                <c:pt idx="2">
                  <c:v>-163</c:v>
                </c:pt>
                <c:pt idx="3">
                  <c:v>128</c:v>
                </c:pt>
                <c:pt idx="4">
                  <c:v>508</c:v>
                </c:pt>
                <c:pt idx="5">
                  <c:v>1023</c:v>
                </c:pt>
                <c:pt idx="6">
                  <c:v>1336</c:v>
                </c:pt>
                <c:pt idx="7">
                  <c:v>1560</c:v>
                </c:pt>
                <c:pt idx="8">
                  <c:v>1957</c:v>
                </c:pt>
                <c:pt idx="9">
                  <c:v>2421</c:v>
                </c:pt>
                <c:pt idx="10">
                  <c:v>2794</c:v>
                </c:pt>
                <c:pt idx="11">
                  <c:v>3073</c:v>
                </c:pt>
                <c:pt idx="12">
                  <c:v>3104</c:v>
                </c:pt>
                <c:pt idx="13">
                  <c:v>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3C-A24B-9DE6-C09D4CF84772}"/>
            </c:ext>
          </c:extLst>
        </c:ser>
        <c:ser>
          <c:idx val="3"/>
          <c:order val="3"/>
          <c:tx>
            <c:strRef>
              <c:f>'W1'!$A$5</c:f>
              <c:strCache>
                <c:ptCount val="1"/>
                <c:pt idx="0">
                  <c:v>Djokovic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'W1'!$B$1:$U$1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'W1'!$B$5:$U$5</c:f>
              <c:numCache>
                <c:formatCode>General</c:formatCode>
                <c:ptCount val="20"/>
                <c:pt idx="0">
                  <c:v>21</c:v>
                </c:pt>
                <c:pt idx="1">
                  <c:v>326</c:v>
                </c:pt>
                <c:pt idx="2">
                  <c:v>417</c:v>
                </c:pt>
                <c:pt idx="3">
                  <c:v>577</c:v>
                </c:pt>
                <c:pt idx="4">
                  <c:v>550</c:v>
                </c:pt>
                <c:pt idx="5">
                  <c:v>637</c:v>
                </c:pt>
                <c:pt idx="6">
                  <c:v>936</c:v>
                </c:pt>
                <c:pt idx="7">
                  <c:v>1239</c:v>
                </c:pt>
                <c:pt idx="8">
                  <c:v>1561</c:v>
                </c:pt>
                <c:pt idx="9">
                  <c:v>2040</c:v>
                </c:pt>
                <c:pt idx="10">
                  <c:v>2392</c:v>
                </c:pt>
                <c:pt idx="11">
                  <c:v>2846</c:v>
                </c:pt>
                <c:pt idx="12">
                  <c:v>3054</c:v>
                </c:pt>
                <c:pt idx="13">
                  <c:v>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3C-A24B-9DE6-C09D4CF84772}"/>
            </c:ext>
          </c:extLst>
        </c:ser>
        <c:ser>
          <c:idx val="4"/>
          <c:order val="4"/>
          <c:tx>
            <c:strRef>
              <c:f>'W1'!$A$6</c:f>
              <c:strCache>
                <c:ptCount val="1"/>
                <c:pt idx="0">
                  <c:v>Borg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'W1'!$B$1:$U$1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'W1'!$B$6:$U$6</c:f>
              <c:numCache>
                <c:formatCode>General</c:formatCode>
                <c:ptCount val="20"/>
                <c:pt idx="0">
                  <c:v>91</c:v>
                </c:pt>
                <c:pt idx="1">
                  <c:v>100</c:v>
                </c:pt>
                <c:pt idx="2">
                  <c:v>284</c:v>
                </c:pt>
                <c:pt idx="3">
                  <c:v>750</c:v>
                </c:pt>
                <c:pt idx="4">
                  <c:v>1322</c:v>
                </c:pt>
                <c:pt idx="5">
                  <c:v>1764</c:v>
                </c:pt>
                <c:pt idx="6">
                  <c:v>2303</c:v>
                </c:pt>
                <c:pt idx="7">
                  <c:v>2773</c:v>
                </c:pt>
                <c:pt idx="8">
                  <c:v>3292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3C-A24B-9DE6-C09D4CF84772}"/>
            </c:ext>
          </c:extLst>
        </c:ser>
        <c:ser>
          <c:idx val="5"/>
          <c:order val="5"/>
          <c:tx>
            <c:strRef>
              <c:f>'W1'!$A$7</c:f>
              <c:strCache>
                <c:ptCount val="1"/>
                <c:pt idx="0">
                  <c:v>Connors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'W1'!$B$1:$U$1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'W1'!$B$7:$U$7</c:f>
              <c:numCache>
                <c:formatCode>General</c:formatCode>
                <c:ptCount val="20"/>
                <c:pt idx="0">
                  <c:v>262</c:v>
                </c:pt>
                <c:pt idx="1">
                  <c:v>272</c:v>
                </c:pt>
                <c:pt idx="2">
                  <c:v>835</c:v>
                </c:pt>
                <c:pt idx="3">
                  <c:v>1251</c:v>
                </c:pt>
                <c:pt idx="4">
                  <c:v>1342</c:v>
                </c:pt>
                <c:pt idx="5">
                  <c:v>1662</c:v>
                </c:pt>
                <c:pt idx="6">
                  <c:v>2097</c:v>
                </c:pt>
                <c:pt idx="7">
                  <c:v>2353</c:v>
                </c:pt>
                <c:pt idx="8">
                  <c:v>2610</c:v>
                </c:pt>
                <c:pt idx="9">
                  <c:v>2861</c:v>
                </c:pt>
                <c:pt idx="10">
                  <c:v>3327</c:v>
                </c:pt>
                <c:pt idx="11">
                  <c:v>3412</c:v>
                </c:pt>
                <c:pt idx="12">
                  <c:v>3648</c:v>
                </c:pt>
                <c:pt idx="13">
                  <c:v>3797</c:v>
                </c:pt>
                <c:pt idx="14">
                  <c:v>3770</c:v>
                </c:pt>
                <c:pt idx="15">
                  <c:v>3974</c:v>
                </c:pt>
                <c:pt idx="16">
                  <c:v>3900</c:v>
                </c:pt>
                <c:pt idx="17">
                  <c:v>3891</c:v>
                </c:pt>
                <c:pt idx="18">
                  <c:v>3950</c:v>
                </c:pt>
                <c:pt idx="19">
                  <c:v>3864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3C-A24B-9DE6-C09D4CF84772}"/>
            </c:ext>
          </c:extLst>
        </c:ser>
        <c:ser>
          <c:idx val="6"/>
          <c:order val="6"/>
          <c:tx>
            <c:strRef>
              <c:f>'W1'!$A$8</c:f>
              <c:strCache>
                <c:ptCount val="1"/>
                <c:pt idx="0">
                  <c:v>Lendl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'W1'!$B$1:$U$1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'W1'!$B$8:$U$8</c:f>
              <c:numCache>
                <c:formatCode>General</c:formatCode>
                <c:ptCount val="20"/>
                <c:pt idx="0">
                  <c:v>-46</c:v>
                </c:pt>
                <c:pt idx="1">
                  <c:v>-2</c:v>
                </c:pt>
                <c:pt idx="2">
                  <c:v>-101</c:v>
                </c:pt>
                <c:pt idx="3">
                  <c:v>4</c:v>
                </c:pt>
                <c:pt idx="4">
                  <c:v>203</c:v>
                </c:pt>
                <c:pt idx="5">
                  <c:v>272</c:v>
                </c:pt>
                <c:pt idx="6">
                  <c:v>587</c:v>
                </c:pt>
                <c:pt idx="7">
                  <c:v>914</c:v>
                </c:pt>
                <c:pt idx="8">
                  <c:v>1175</c:v>
                </c:pt>
                <c:pt idx="9">
                  <c:v>1285</c:v>
                </c:pt>
                <c:pt idx="10">
                  <c:v>1407</c:v>
                </c:pt>
                <c:pt idx="11">
                  <c:v>1420</c:v>
                </c:pt>
                <c:pt idx="12">
                  <c:v>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3C-A24B-9DE6-C09D4CF84772}"/>
            </c:ext>
          </c:extLst>
        </c:ser>
        <c:ser>
          <c:idx val="7"/>
          <c:order val="7"/>
          <c:tx>
            <c:strRef>
              <c:f>'W1'!$A$9</c:f>
              <c:strCache>
                <c:ptCount val="1"/>
                <c:pt idx="0">
                  <c:v>Agassi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'W1'!$B$1:$U$1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'W1'!$B$9:$U$9</c:f>
              <c:numCache>
                <c:formatCode>General</c:formatCode>
                <c:ptCount val="20"/>
                <c:pt idx="0">
                  <c:v>-9</c:v>
                </c:pt>
                <c:pt idx="1">
                  <c:v>138</c:v>
                </c:pt>
                <c:pt idx="2">
                  <c:v>596</c:v>
                </c:pt>
                <c:pt idx="3">
                  <c:v>763</c:v>
                </c:pt>
                <c:pt idx="4">
                  <c:v>895</c:v>
                </c:pt>
                <c:pt idx="5">
                  <c:v>1100</c:v>
                </c:pt>
                <c:pt idx="6">
                  <c:v>1001</c:v>
                </c:pt>
                <c:pt idx="7">
                  <c:v>974</c:v>
                </c:pt>
                <c:pt idx="8">
                  <c:v>1305</c:v>
                </c:pt>
                <c:pt idx="9">
                  <c:v>1515</c:v>
                </c:pt>
                <c:pt idx="10">
                  <c:v>1708</c:v>
                </c:pt>
                <c:pt idx="11">
                  <c:v>1642</c:v>
                </c:pt>
                <c:pt idx="12">
                  <c:v>1680</c:v>
                </c:pt>
                <c:pt idx="13">
                  <c:v>1739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3C-A24B-9DE6-C09D4CF84772}"/>
            </c:ext>
          </c:extLst>
        </c:ser>
        <c:ser>
          <c:idx val="8"/>
          <c:order val="8"/>
          <c:tx>
            <c:strRef>
              <c:f>'W1'!$A$10</c:f>
              <c:strCache>
                <c:ptCount val="1"/>
                <c:pt idx="0">
                  <c:v>McEnroe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'W1'!$B$1:$U$1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'W1'!$B$10:$U$10</c:f>
              <c:numCache>
                <c:formatCode>General</c:formatCode>
                <c:ptCount val="20"/>
                <c:pt idx="0">
                  <c:v>252</c:v>
                </c:pt>
                <c:pt idx="1">
                  <c:v>153</c:v>
                </c:pt>
                <c:pt idx="2">
                  <c:v>284</c:v>
                </c:pt>
                <c:pt idx="3">
                  <c:v>560</c:v>
                </c:pt>
                <c:pt idx="4">
                  <c:v>1100</c:v>
                </c:pt>
                <c:pt idx="5">
                  <c:v>1450</c:v>
                </c:pt>
                <c:pt idx="6">
                  <c:v>1809</c:v>
                </c:pt>
                <c:pt idx="7">
                  <c:v>2263</c:v>
                </c:pt>
                <c:pt idx="8">
                  <c:v>2269</c:v>
                </c:pt>
                <c:pt idx="9">
                  <c:v>2232</c:v>
                </c:pt>
                <c:pt idx="10">
                  <c:v>2503</c:v>
                </c:pt>
                <c:pt idx="11">
                  <c:v>2404</c:v>
                </c:pt>
                <c:pt idx="12">
                  <c:v>2441</c:v>
                </c:pt>
                <c:pt idx="13">
                  <c:v>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3C-A24B-9DE6-C09D4CF84772}"/>
            </c:ext>
          </c:extLst>
        </c:ser>
        <c:ser>
          <c:idx val="9"/>
          <c:order val="9"/>
          <c:tx>
            <c:strRef>
              <c:f>'W1'!$A$11</c:f>
              <c:strCache>
                <c:ptCount val="1"/>
                <c:pt idx="0">
                  <c:v>Wilander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'W1'!$B$1:$U$1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'W1'!$B$11:$U$11</c:f>
              <c:numCache>
                <c:formatCode>General</c:formatCode>
                <c:ptCount val="20"/>
                <c:pt idx="0">
                  <c:v>1</c:v>
                </c:pt>
                <c:pt idx="1">
                  <c:v>112</c:v>
                </c:pt>
                <c:pt idx="2">
                  <c:v>118</c:v>
                </c:pt>
                <c:pt idx="3">
                  <c:v>86</c:v>
                </c:pt>
                <c:pt idx="4">
                  <c:v>9</c:v>
                </c:pt>
                <c:pt idx="5">
                  <c:v>-37</c:v>
                </c:pt>
                <c:pt idx="6">
                  <c:v>183</c:v>
                </c:pt>
                <c:pt idx="7">
                  <c:v>304</c:v>
                </c:pt>
                <c:pt idx="8">
                  <c:v>431</c:v>
                </c:pt>
                <c:pt idx="9">
                  <c:v>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3C-A24B-9DE6-C09D4CF84772}"/>
            </c:ext>
          </c:extLst>
        </c:ser>
        <c:ser>
          <c:idx val="10"/>
          <c:order val="10"/>
          <c:tx>
            <c:strRef>
              <c:f>'W1'!$A$12</c:f>
              <c:strCache>
                <c:ptCount val="1"/>
                <c:pt idx="0">
                  <c:v>Edberg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'W1'!$B$1:$U$1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'W1'!$B$12:$U$12</c:f>
              <c:numCache>
                <c:formatCode>General</c:formatCode>
                <c:ptCount val="20"/>
                <c:pt idx="0">
                  <c:v>51</c:v>
                </c:pt>
                <c:pt idx="1">
                  <c:v>83</c:v>
                </c:pt>
                <c:pt idx="2">
                  <c:v>145</c:v>
                </c:pt>
                <c:pt idx="3">
                  <c:v>196</c:v>
                </c:pt>
                <c:pt idx="4">
                  <c:v>426</c:v>
                </c:pt>
                <c:pt idx="5">
                  <c:v>775</c:v>
                </c:pt>
                <c:pt idx="6">
                  <c:v>1090</c:v>
                </c:pt>
                <c:pt idx="7">
                  <c:v>1525</c:v>
                </c:pt>
                <c:pt idx="8">
                  <c:v>1701</c:v>
                </c:pt>
                <c:pt idx="9">
                  <c:v>1707</c:v>
                </c:pt>
                <c:pt idx="10">
                  <c:v>1876</c:v>
                </c:pt>
                <c:pt idx="11">
                  <c:v>1778</c:v>
                </c:pt>
                <c:pt idx="12">
                  <c:v>1692</c:v>
                </c:pt>
                <c:pt idx="13">
                  <c:v>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3C-A24B-9DE6-C09D4CF84772}"/>
            </c:ext>
          </c:extLst>
        </c:ser>
        <c:ser>
          <c:idx val="11"/>
          <c:order val="11"/>
          <c:tx>
            <c:strRef>
              <c:f>'W1'!$A$13</c:f>
              <c:strCache>
                <c:ptCount val="1"/>
                <c:pt idx="0">
                  <c:v>Becker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'W1'!$B$1:$U$1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'W1'!$B$13:$U$13</c:f>
              <c:numCache>
                <c:formatCode>General</c:formatCode>
                <c:ptCount val="20"/>
                <c:pt idx="0">
                  <c:v>35</c:v>
                </c:pt>
                <c:pt idx="1">
                  <c:v>562</c:v>
                </c:pt>
                <c:pt idx="2">
                  <c:v>1078</c:v>
                </c:pt>
                <c:pt idx="3">
                  <c:v>1078</c:v>
                </c:pt>
                <c:pt idx="4">
                  <c:v>1425</c:v>
                </c:pt>
                <c:pt idx="5">
                  <c:v>1854</c:v>
                </c:pt>
                <c:pt idx="6">
                  <c:v>2149</c:v>
                </c:pt>
                <c:pt idx="7">
                  <c:v>2478</c:v>
                </c:pt>
                <c:pt idx="8">
                  <c:v>2657</c:v>
                </c:pt>
                <c:pt idx="9">
                  <c:v>2992</c:v>
                </c:pt>
                <c:pt idx="10">
                  <c:v>3121</c:v>
                </c:pt>
                <c:pt idx="11">
                  <c:v>3343</c:v>
                </c:pt>
                <c:pt idx="12">
                  <c:v>3296</c:v>
                </c:pt>
                <c:pt idx="13">
                  <c:v>3466</c:v>
                </c:pt>
                <c:pt idx="14">
                  <c:v>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3C-A24B-9DE6-C09D4CF84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2151760"/>
        <c:axId val="-1472198576"/>
      </c:lineChart>
      <c:catAx>
        <c:axId val="-147215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198576"/>
        <c:crosses val="autoZero"/>
        <c:auto val="1"/>
        <c:lblAlgn val="ctr"/>
        <c:lblOffset val="100"/>
        <c:noMultiLvlLbl val="0"/>
      </c:catAx>
      <c:valAx>
        <c:axId val="-14721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15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'U1'!$A$2</c:f>
              <c:strCache>
                <c:ptCount val="1"/>
                <c:pt idx="0">
                  <c:v>Federer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'U1'!$B$1:$W$1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'U1'!$B$2:$W$2</c:f>
              <c:numCache>
                <c:formatCode>General</c:formatCode>
                <c:ptCount val="22"/>
                <c:pt idx="0">
                  <c:v>-10</c:v>
                </c:pt>
                <c:pt idx="1">
                  <c:v>93</c:v>
                </c:pt>
                <c:pt idx="2">
                  <c:v>144</c:v>
                </c:pt>
                <c:pt idx="3">
                  <c:v>227</c:v>
                </c:pt>
                <c:pt idx="4">
                  <c:v>772</c:v>
                </c:pt>
                <c:pt idx="5">
                  <c:v>1283</c:v>
                </c:pt>
                <c:pt idx="6">
                  <c:v>1688</c:v>
                </c:pt>
                <c:pt idx="7">
                  <c:v>2069</c:v>
                </c:pt>
                <c:pt idx="8">
                  <c:v>2462</c:v>
                </c:pt>
                <c:pt idx="9">
                  <c:v>2863</c:v>
                </c:pt>
                <c:pt idx="10">
                  <c:v>3068</c:v>
                </c:pt>
                <c:pt idx="11">
                  <c:v>3366</c:v>
                </c:pt>
                <c:pt idx="12">
                  <c:v>3481</c:v>
                </c:pt>
                <c:pt idx="13">
                  <c:v>3589</c:v>
                </c:pt>
                <c:pt idx="14">
                  <c:v>3841</c:v>
                </c:pt>
                <c:pt idx="15">
                  <c:v>4311</c:v>
                </c:pt>
                <c:pt idx="16">
                  <c:v>4464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E-574E-A597-069FF521C7B6}"/>
            </c:ext>
          </c:extLst>
        </c:ser>
        <c:ser>
          <c:idx val="1"/>
          <c:order val="1"/>
          <c:tx>
            <c:strRef>
              <c:f>'U1'!$A$3</c:f>
              <c:strCache>
                <c:ptCount val="1"/>
                <c:pt idx="0">
                  <c:v>Nadal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'U1'!$B$1:$W$1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'U1'!$B$3:$W$3</c:f>
              <c:numCache>
                <c:formatCode>General</c:formatCode>
                <c:ptCount val="22"/>
                <c:pt idx="0">
                  <c:v>17</c:v>
                </c:pt>
                <c:pt idx="1">
                  <c:v>16</c:v>
                </c:pt>
                <c:pt idx="2">
                  <c:v>-33</c:v>
                </c:pt>
                <c:pt idx="3">
                  <c:v>-18</c:v>
                </c:pt>
                <c:pt idx="4">
                  <c:v>38</c:v>
                </c:pt>
                <c:pt idx="5">
                  <c:v>193</c:v>
                </c:pt>
                <c:pt idx="6">
                  <c:v>506</c:v>
                </c:pt>
                <c:pt idx="7">
                  <c:v>1036</c:v>
                </c:pt>
                <c:pt idx="8">
                  <c:v>1298</c:v>
                </c:pt>
                <c:pt idx="9">
                  <c:v>1762</c:v>
                </c:pt>
                <c:pt idx="10">
                  <c:v>1823</c:v>
                </c:pt>
                <c:pt idx="11">
                  <c:v>1866</c:v>
                </c:pt>
                <c:pt idx="12">
                  <c:v>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E-574E-A597-069FF521C7B6}"/>
            </c:ext>
          </c:extLst>
        </c:ser>
        <c:ser>
          <c:idx val="2"/>
          <c:order val="2"/>
          <c:tx>
            <c:strRef>
              <c:f>'U1'!$A$4</c:f>
              <c:strCache>
                <c:ptCount val="1"/>
                <c:pt idx="0">
                  <c:v>Sampras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'U1'!$B$1:$W$1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'U1'!$B$4:$W$4</c:f>
              <c:numCache>
                <c:formatCode>General</c:formatCode>
                <c:ptCount val="22"/>
                <c:pt idx="0">
                  <c:v>-69</c:v>
                </c:pt>
                <c:pt idx="1">
                  <c:v>88</c:v>
                </c:pt>
                <c:pt idx="2">
                  <c:v>591</c:v>
                </c:pt>
                <c:pt idx="3">
                  <c:v>717</c:v>
                </c:pt>
                <c:pt idx="4">
                  <c:v>1014</c:v>
                </c:pt>
                <c:pt idx="5">
                  <c:v>1492</c:v>
                </c:pt>
                <c:pt idx="6">
                  <c:v>1517</c:v>
                </c:pt>
                <c:pt idx="7">
                  <c:v>1951</c:v>
                </c:pt>
                <c:pt idx="8">
                  <c:v>2418</c:v>
                </c:pt>
                <c:pt idx="9">
                  <c:v>2424</c:v>
                </c:pt>
                <c:pt idx="10">
                  <c:v>2603</c:v>
                </c:pt>
                <c:pt idx="11">
                  <c:v>2867</c:v>
                </c:pt>
                <c:pt idx="12">
                  <c:v>3263</c:v>
                </c:pt>
                <c:pt idx="13">
                  <c:v>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4E-574E-A597-069FF521C7B6}"/>
            </c:ext>
          </c:extLst>
        </c:ser>
        <c:ser>
          <c:idx val="3"/>
          <c:order val="3"/>
          <c:tx>
            <c:strRef>
              <c:f>'U1'!$A$5</c:f>
              <c:strCache>
                <c:ptCount val="1"/>
                <c:pt idx="0">
                  <c:v>Djokovic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'U1'!$B$1:$W$1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'U1'!$B$5:$W$5</c:f>
              <c:numCache>
                <c:formatCode>General</c:formatCode>
                <c:ptCount val="22"/>
                <c:pt idx="0">
                  <c:v>87</c:v>
                </c:pt>
                <c:pt idx="1">
                  <c:v>113</c:v>
                </c:pt>
                <c:pt idx="2">
                  <c:v>496</c:v>
                </c:pt>
                <c:pt idx="3">
                  <c:v>783</c:v>
                </c:pt>
                <c:pt idx="4">
                  <c:v>1020</c:v>
                </c:pt>
                <c:pt idx="5">
                  <c:v>1413</c:v>
                </c:pt>
                <c:pt idx="6">
                  <c:v>1904</c:v>
                </c:pt>
                <c:pt idx="7">
                  <c:v>2303</c:v>
                </c:pt>
                <c:pt idx="8">
                  <c:v>2577</c:v>
                </c:pt>
                <c:pt idx="9">
                  <c:v>2840</c:v>
                </c:pt>
                <c:pt idx="10">
                  <c:v>3370</c:v>
                </c:pt>
                <c:pt idx="11">
                  <c:v>3685</c:v>
                </c:pt>
                <c:pt idx="12">
                  <c:v>4160</c:v>
                </c:pt>
                <c:pt idx="13">
                  <c:v>4205</c:v>
                </c:pt>
                <c:pt idx="14">
                  <c:v>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4E-574E-A597-069FF521C7B6}"/>
            </c:ext>
          </c:extLst>
        </c:ser>
        <c:ser>
          <c:idx val="4"/>
          <c:order val="4"/>
          <c:tx>
            <c:strRef>
              <c:f>'U1'!$A$6</c:f>
              <c:strCache>
                <c:ptCount val="1"/>
                <c:pt idx="0">
                  <c:v>Borg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'U1'!$B$1:$W$1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'U1'!$B$6:$W$6</c:f>
              <c:numCache>
                <c:formatCode>General</c:formatCode>
                <c:ptCount val="22"/>
                <c:pt idx="0">
                  <c:v>96</c:v>
                </c:pt>
                <c:pt idx="1">
                  <c:v>58</c:v>
                </c:pt>
                <c:pt idx="2">
                  <c:v>375</c:v>
                </c:pt>
                <c:pt idx="3">
                  <c:v>765</c:v>
                </c:pt>
                <c:pt idx="4">
                  <c:v>768</c:v>
                </c:pt>
                <c:pt idx="5">
                  <c:v>1134</c:v>
                </c:pt>
                <c:pt idx="6">
                  <c:v>1215</c:v>
                </c:pt>
                <c:pt idx="7">
                  <c:v>1647</c:v>
                </c:pt>
                <c:pt idx="8">
                  <c:v>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4E-574E-A597-069FF521C7B6}"/>
            </c:ext>
          </c:extLst>
        </c:ser>
        <c:ser>
          <c:idx val="5"/>
          <c:order val="5"/>
          <c:tx>
            <c:strRef>
              <c:f>'U1'!$A$7</c:f>
              <c:strCache>
                <c:ptCount val="1"/>
                <c:pt idx="0">
                  <c:v>Connors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'U1'!$B$1:$W$1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'U1'!$B$7:$W$7</c:f>
              <c:numCache>
                <c:formatCode>General</c:formatCode>
                <c:ptCount val="22"/>
                <c:pt idx="0">
                  <c:v>-18</c:v>
                </c:pt>
                <c:pt idx="1">
                  <c:v>-61</c:v>
                </c:pt>
                <c:pt idx="2">
                  <c:v>-76</c:v>
                </c:pt>
                <c:pt idx="3">
                  <c:v>130</c:v>
                </c:pt>
                <c:pt idx="4">
                  <c:v>687</c:v>
                </c:pt>
                <c:pt idx="5">
                  <c:v>1076</c:v>
                </c:pt>
                <c:pt idx="6">
                  <c:v>1524</c:v>
                </c:pt>
                <c:pt idx="7">
                  <c:v>1887</c:v>
                </c:pt>
                <c:pt idx="8">
                  <c:v>2379</c:v>
                </c:pt>
                <c:pt idx="9">
                  <c:v>2651</c:v>
                </c:pt>
                <c:pt idx="10">
                  <c:v>2900</c:v>
                </c:pt>
                <c:pt idx="11">
                  <c:v>3069</c:v>
                </c:pt>
                <c:pt idx="12">
                  <c:v>3519</c:v>
                </c:pt>
                <c:pt idx="13">
                  <c:v>3995</c:v>
                </c:pt>
                <c:pt idx="14">
                  <c:v>4275</c:v>
                </c:pt>
                <c:pt idx="15">
                  <c:v>4501</c:v>
                </c:pt>
                <c:pt idx="16">
                  <c:v>4431</c:v>
                </c:pt>
                <c:pt idx="17">
                  <c:v>4668</c:v>
                </c:pt>
                <c:pt idx="18">
                  <c:v>4709</c:v>
                </c:pt>
                <c:pt idx="19">
                  <c:v>4882</c:v>
                </c:pt>
                <c:pt idx="20">
                  <c:v>5162</c:v>
                </c:pt>
                <c:pt idx="21">
                  <c:v>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4E-574E-A597-069FF521C7B6}"/>
            </c:ext>
          </c:extLst>
        </c:ser>
        <c:ser>
          <c:idx val="6"/>
          <c:order val="6"/>
          <c:tx>
            <c:strRef>
              <c:f>'U1'!$A$8</c:f>
              <c:strCache>
                <c:ptCount val="1"/>
                <c:pt idx="0">
                  <c:v>Lendl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'U1'!$B$1:$W$1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'U1'!$B$8:$W$8</c:f>
              <c:numCache>
                <c:formatCode>General</c:formatCode>
                <c:ptCount val="22"/>
                <c:pt idx="0">
                  <c:v>52</c:v>
                </c:pt>
                <c:pt idx="1">
                  <c:v>156</c:v>
                </c:pt>
                <c:pt idx="2">
                  <c:v>169</c:v>
                </c:pt>
                <c:pt idx="3">
                  <c:v>553</c:v>
                </c:pt>
                <c:pt idx="4">
                  <c:v>950</c:v>
                </c:pt>
                <c:pt idx="5">
                  <c:v>1328</c:v>
                </c:pt>
                <c:pt idx="6">
                  <c:v>1729</c:v>
                </c:pt>
                <c:pt idx="7">
                  <c:v>2265</c:v>
                </c:pt>
                <c:pt idx="8">
                  <c:v>2738</c:v>
                </c:pt>
                <c:pt idx="9">
                  <c:v>3127</c:v>
                </c:pt>
                <c:pt idx="10">
                  <c:v>3559</c:v>
                </c:pt>
                <c:pt idx="11">
                  <c:v>3647</c:v>
                </c:pt>
                <c:pt idx="12">
                  <c:v>3983</c:v>
                </c:pt>
                <c:pt idx="13">
                  <c:v>4193</c:v>
                </c:pt>
                <c:pt idx="14">
                  <c:v>4094</c:v>
                </c:pt>
                <c:pt idx="15">
                  <c:v>4054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4E-574E-A597-069FF521C7B6}"/>
            </c:ext>
          </c:extLst>
        </c:ser>
        <c:ser>
          <c:idx val="7"/>
          <c:order val="7"/>
          <c:tx>
            <c:strRef>
              <c:f>'U1'!$A$9</c:f>
              <c:strCache>
                <c:ptCount val="1"/>
                <c:pt idx="0">
                  <c:v>Agassi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'U1'!$B$1:$W$1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'U1'!$B$9:$W$9</c:f>
              <c:numCache>
                <c:formatCode>General</c:formatCode>
                <c:ptCount val="22"/>
                <c:pt idx="0">
                  <c:v>-99</c:v>
                </c:pt>
                <c:pt idx="1">
                  <c:v>-110</c:v>
                </c:pt>
                <c:pt idx="2">
                  <c:v>90</c:v>
                </c:pt>
                <c:pt idx="3">
                  <c:v>200</c:v>
                </c:pt>
                <c:pt idx="4">
                  <c:v>579</c:v>
                </c:pt>
                <c:pt idx="5">
                  <c:v>532</c:v>
                </c:pt>
                <c:pt idx="6">
                  <c:v>718</c:v>
                </c:pt>
                <c:pt idx="7">
                  <c:v>657</c:v>
                </c:pt>
                <c:pt idx="8">
                  <c:v>1165</c:v>
                </c:pt>
                <c:pt idx="9">
                  <c:v>1525</c:v>
                </c:pt>
                <c:pt idx="10">
                  <c:v>1714</c:v>
                </c:pt>
                <c:pt idx="11">
                  <c:v>1760</c:v>
                </c:pt>
                <c:pt idx="12">
                  <c:v>1881</c:v>
                </c:pt>
                <c:pt idx="13">
                  <c:v>2185</c:v>
                </c:pt>
                <c:pt idx="14">
                  <c:v>2149</c:v>
                </c:pt>
                <c:pt idx="15">
                  <c:v>2252</c:v>
                </c:pt>
                <c:pt idx="16">
                  <c:v>2478</c:v>
                </c:pt>
                <c:pt idx="17">
                  <c:v>2699</c:v>
                </c:pt>
                <c:pt idx="18">
                  <c:v>2945</c:v>
                </c:pt>
                <c:pt idx="19">
                  <c:v>3217</c:v>
                </c:pt>
                <c:pt idx="20">
                  <c:v>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4E-574E-A597-069FF521C7B6}"/>
            </c:ext>
          </c:extLst>
        </c:ser>
        <c:ser>
          <c:idx val="8"/>
          <c:order val="8"/>
          <c:tx>
            <c:strRef>
              <c:f>'U1'!$A$10</c:f>
              <c:strCache>
                <c:ptCount val="1"/>
                <c:pt idx="0">
                  <c:v>McEnroe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'U1'!$B$1:$W$1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'U1'!$B$10:$W$10</c:f>
              <c:numCache>
                <c:formatCode>General</c:formatCode>
                <c:ptCount val="22"/>
                <c:pt idx="0">
                  <c:v>139</c:v>
                </c:pt>
                <c:pt idx="1">
                  <c:v>397</c:v>
                </c:pt>
                <c:pt idx="2">
                  <c:v>877</c:v>
                </c:pt>
                <c:pt idx="3">
                  <c:v>1316</c:v>
                </c:pt>
                <c:pt idx="4">
                  <c:v>1750</c:v>
                </c:pt>
                <c:pt idx="5">
                  <c:v>1978</c:v>
                </c:pt>
                <c:pt idx="6">
                  <c:v>1994</c:v>
                </c:pt>
                <c:pt idx="7">
                  <c:v>2418</c:v>
                </c:pt>
                <c:pt idx="8">
                  <c:v>2755</c:v>
                </c:pt>
                <c:pt idx="9">
                  <c:v>2735</c:v>
                </c:pt>
                <c:pt idx="10">
                  <c:v>2942</c:v>
                </c:pt>
                <c:pt idx="11">
                  <c:v>2907</c:v>
                </c:pt>
                <c:pt idx="12">
                  <c:v>2809</c:v>
                </c:pt>
                <c:pt idx="13">
                  <c:v>3104</c:v>
                </c:pt>
                <c:pt idx="14">
                  <c:v>3084</c:v>
                </c:pt>
                <c:pt idx="15">
                  <c:v>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4E-574E-A597-069FF521C7B6}"/>
            </c:ext>
          </c:extLst>
        </c:ser>
        <c:ser>
          <c:idx val="9"/>
          <c:order val="9"/>
          <c:tx>
            <c:strRef>
              <c:f>'U1'!$A$11</c:f>
              <c:strCache>
                <c:ptCount val="1"/>
                <c:pt idx="0">
                  <c:v>Wilander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'U1'!$B$1:$W$1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'U1'!$B$11:$W$11</c:f>
              <c:numCache>
                <c:formatCode>General</c:formatCode>
                <c:ptCount val="22"/>
                <c:pt idx="0">
                  <c:v>115</c:v>
                </c:pt>
                <c:pt idx="1">
                  <c:v>294</c:v>
                </c:pt>
                <c:pt idx="2">
                  <c:v>448</c:v>
                </c:pt>
                <c:pt idx="3">
                  <c:v>752</c:v>
                </c:pt>
                <c:pt idx="4">
                  <c:v>825</c:v>
                </c:pt>
                <c:pt idx="5">
                  <c:v>1051</c:v>
                </c:pt>
                <c:pt idx="6">
                  <c:v>1555</c:v>
                </c:pt>
                <c:pt idx="7">
                  <c:v>1535</c:v>
                </c:pt>
                <c:pt idx="8">
                  <c:v>1527</c:v>
                </c:pt>
                <c:pt idx="9">
                  <c:v>1605</c:v>
                </c:pt>
                <c:pt idx="10">
                  <c:v>1506</c:v>
                </c:pt>
                <c:pt idx="11">
                  <c:v>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4E-574E-A597-069FF521C7B6}"/>
            </c:ext>
          </c:extLst>
        </c:ser>
        <c:ser>
          <c:idx val="10"/>
          <c:order val="10"/>
          <c:tx>
            <c:strRef>
              <c:f>'U1'!$A$12</c:f>
              <c:strCache>
                <c:ptCount val="1"/>
                <c:pt idx="0">
                  <c:v>Edberg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'U1'!$B$1:$W$1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'U1'!$B$12:$W$12</c:f>
              <c:numCache>
                <c:formatCode>General</c:formatCode>
                <c:ptCount val="22"/>
                <c:pt idx="0">
                  <c:v>-97</c:v>
                </c:pt>
                <c:pt idx="1">
                  <c:v>-97</c:v>
                </c:pt>
                <c:pt idx="2">
                  <c:v>92</c:v>
                </c:pt>
                <c:pt idx="3">
                  <c:v>318</c:v>
                </c:pt>
                <c:pt idx="4">
                  <c:v>598</c:v>
                </c:pt>
                <c:pt idx="5">
                  <c:v>634</c:v>
                </c:pt>
                <c:pt idx="6">
                  <c:v>676</c:v>
                </c:pt>
                <c:pt idx="7">
                  <c:v>624</c:v>
                </c:pt>
                <c:pt idx="8">
                  <c:v>997</c:v>
                </c:pt>
                <c:pt idx="9">
                  <c:v>1543</c:v>
                </c:pt>
                <c:pt idx="10">
                  <c:v>1526</c:v>
                </c:pt>
                <c:pt idx="11">
                  <c:v>1473</c:v>
                </c:pt>
                <c:pt idx="12">
                  <c:v>1511</c:v>
                </c:pt>
                <c:pt idx="13">
                  <c:v>1767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4E-574E-A597-069FF521C7B6}"/>
            </c:ext>
          </c:extLst>
        </c:ser>
        <c:ser>
          <c:idx val="11"/>
          <c:order val="11"/>
          <c:tx>
            <c:strRef>
              <c:f>'U1'!$A$13</c:f>
              <c:strCache>
                <c:ptCount val="1"/>
                <c:pt idx="0">
                  <c:v>Becker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'U1'!$B$1:$W$1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'U1'!$B$13:$W$13</c:f>
              <c:numCache>
                <c:formatCode>General</c:formatCode>
                <c:ptCount val="22"/>
                <c:pt idx="0">
                  <c:v>-5</c:v>
                </c:pt>
                <c:pt idx="1">
                  <c:v>111</c:v>
                </c:pt>
                <c:pt idx="2">
                  <c:v>149</c:v>
                </c:pt>
                <c:pt idx="3">
                  <c:v>131</c:v>
                </c:pt>
                <c:pt idx="4">
                  <c:v>632</c:v>
                </c:pt>
                <c:pt idx="5">
                  <c:v>953</c:v>
                </c:pt>
                <c:pt idx="6">
                  <c:v>1048</c:v>
                </c:pt>
                <c:pt idx="7">
                  <c:v>1132</c:v>
                </c:pt>
                <c:pt idx="8">
                  <c:v>1180</c:v>
                </c:pt>
                <c:pt idx="9">
                  <c:v>1132</c:v>
                </c:pt>
                <c:pt idx="10">
                  <c:v>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4E-574E-A597-069FF521C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4443824"/>
        <c:axId val="-1454441920"/>
      </c:lineChart>
      <c:catAx>
        <c:axId val="-145444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441920"/>
        <c:crosses val="autoZero"/>
        <c:auto val="1"/>
        <c:lblAlgn val="ctr"/>
        <c:lblOffset val="100"/>
        <c:noMultiLvlLbl val="0"/>
      </c:catAx>
      <c:valAx>
        <c:axId val="-14544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44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1970s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Decades'!$H$3</c:f>
              <c:strCache>
                <c:ptCount val="1"/>
                <c:pt idx="0">
                  <c:v>Connors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Decades'!$I$2:$R$2</c:f>
              <c:numCache>
                <c:formatCode>General</c:formatCode>
                <c:ptCount val="1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</c:numCache>
            </c:numRef>
          </c:cat>
          <c:val>
            <c:numRef>
              <c:f>'Graph Decades'!$I$3:$R$3</c:f>
              <c:numCache>
                <c:formatCode>General</c:formatCode>
                <c:ptCount val="10"/>
                <c:pt idx="0">
                  <c:v>-18</c:v>
                </c:pt>
                <c:pt idx="1">
                  <c:v>-61</c:v>
                </c:pt>
                <c:pt idx="2">
                  <c:v>146</c:v>
                </c:pt>
                <c:pt idx="3">
                  <c:v>312</c:v>
                </c:pt>
                <c:pt idx="4">
                  <c:v>1686</c:v>
                </c:pt>
                <c:pt idx="5">
                  <c:v>2638</c:v>
                </c:pt>
                <c:pt idx="6">
                  <c:v>3177</c:v>
                </c:pt>
                <c:pt idx="7">
                  <c:v>3860</c:v>
                </c:pt>
                <c:pt idx="8">
                  <c:v>4787</c:v>
                </c:pt>
                <c:pt idx="9">
                  <c:v>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8-E541-963C-9CE995E9F8B4}"/>
            </c:ext>
          </c:extLst>
        </c:ser>
        <c:ser>
          <c:idx val="1"/>
          <c:order val="1"/>
          <c:tx>
            <c:strRef>
              <c:f>'Graph Decades'!$H$4</c:f>
              <c:strCache>
                <c:ptCount val="1"/>
                <c:pt idx="0">
                  <c:v>Borg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Decades'!$I$2:$R$2</c:f>
              <c:numCache>
                <c:formatCode>General</c:formatCode>
                <c:ptCount val="1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</c:numCache>
            </c:numRef>
          </c:cat>
          <c:val>
            <c:numRef>
              <c:f>'Graph Decades'!$I$4:$R$4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358</c:v>
                </c:pt>
                <c:pt idx="4">
                  <c:v>710</c:v>
                </c:pt>
                <c:pt idx="5">
                  <c:v>1639</c:v>
                </c:pt>
                <c:pt idx="6">
                  <c:v>2629</c:v>
                </c:pt>
                <c:pt idx="7">
                  <c:v>3204</c:v>
                </c:pt>
                <c:pt idx="8">
                  <c:v>4496</c:v>
                </c:pt>
                <c:pt idx="9">
                  <c:v>5430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8-E541-963C-9CE995E9F8B4}"/>
            </c:ext>
          </c:extLst>
        </c:ser>
        <c:ser>
          <c:idx val="2"/>
          <c:order val="2"/>
          <c:tx>
            <c:strRef>
              <c:f>'Graph Decades'!$H$5</c:f>
              <c:strCache>
                <c:ptCount val="1"/>
                <c:pt idx="0">
                  <c:v>Vilas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Decades'!$I$2:$R$2</c:f>
              <c:numCache>
                <c:formatCode>General</c:formatCode>
                <c:ptCount val="1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</c:numCache>
            </c:numRef>
          </c:cat>
          <c:val>
            <c:numRef>
              <c:f>'Graph Decades'!$I$5:$R$5</c:f>
              <c:numCache>
                <c:formatCode>General</c:formatCode>
                <c:ptCount val="10"/>
                <c:pt idx="0">
                  <c:v>-99</c:v>
                </c:pt>
                <c:pt idx="1">
                  <c:v>-99</c:v>
                </c:pt>
                <c:pt idx="2">
                  <c:v>-102</c:v>
                </c:pt>
                <c:pt idx="3">
                  <c:v>-118</c:v>
                </c:pt>
                <c:pt idx="4">
                  <c:v>42</c:v>
                </c:pt>
                <c:pt idx="5">
                  <c:v>747</c:v>
                </c:pt>
                <c:pt idx="6">
                  <c:v>1287</c:v>
                </c:pt>
                <c:pt idx="7">
                  <c:v>2437</c:v>
                </c:pt>
                <c:pt idx="8">
                  <c:v>3192</c:v>
                </c:pt>
                <c:pt idx="9">
                  <c:v>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8-E541-963C-9CE995E9F8B4}"/>
            </c:ext>
          </c:extLst>
        </c:ser>
        <c:ser>
          <c:idx val="3"/>
          <c:order val="3"/>
          <c:tx>
            <c:strRef>
              <c:f>'Graph Decades'!$H$6</c:f>
              <c:strCache>
                <c:ptCount val="1"/>
                <c:pt idx="0">
                  <c:v>Newcombe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Decades'!$I$2:$R$2</c:f>
              <c:numCache>
                <c:formatCode>General</c:formatCode>
                <c:ptCount val="1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</c:numCache>
            </c:numRef>
          </c:cat>
          <c:val>
            <c:numRef>
              <c:f>'Graph Decades'!$I$6:$R$6</c:f>
              <c:numCache>
                <c:formatCode>General</c:formatCode>
                <c:ptCount val="10"/>
                <c:pt idx="0">
                  <c:v>729</c:v>
                </c:pt>
                <c:pt idx="1">
                  <c:v>1230</c:v>
                </c:pt>
                <c:pt idx="2">
                  <c:v>1382</c:v>
                </c:pt>
                <c:pt idx="3">
                  <c:v>2102</c:v>
                </c:pt>
                <c:pt idx="4">
                  <c:v>2734</c:v>
                </c:pt>
                <c:pt idx="5">
                  <c:v>3114</c:v>
                </c:pt>
                <c:pt idx="6">
                  <c:v>3241</c:v>
                </c:pt>
                <c:pt idx="7">
                  <c:v>3467</c:v>
                </c:pt>
                <c:pt idx="8">
                  <c:v>3529</c:v>
                </c:pt>
                <c:pt idx="9">
                  <c:v>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8-E541-963C-9CE995E9F8B4}"/>
            </c:ext>
          </c:extLst>
        </c:ser>
        <c:ser>
          <c:idx val="4"/>
          <c:order val="4"/>
          <c:tx>
            <c:strRef>
              <c:f>'Graph Decades'!$H$7</c:f>
              <c:strCache>
                <c:ptCount val="1"/>
                <c:pt idx="0">
                  <c:v>Rosewall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Decades'!$I$2:$R$2</c:f>
              <c:numCache>
                <c:formatCode>General</c:formatCode>
                <c:ptCount val="1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</c:numCache>
            </c:numRef>
          </c:cat>
          <c:val>
            <c:numRef>
              <c:f>'Graph Decades'!$I$7:$R$7</c:f>
              <c:numCache>
                <c:formatCode>General</c:formatCode>
                <c:ptCount val="10"/>
                <c:pt idx="0">
                  <c:v>876</c:v>
                </c:pt>
                <c:pt idx="1">
                  <c:v>1679</c:v>
                </c:pt>
                <c:pt idx="2">
                  <c:v>2039</c:v>
                </c:pt>
                <c:pt idx="3">
                  <c:v>2174</c:v>
                </c:pt>
                <c:pt idx="4">
                  <c:v>2982</c:v>
                </c:pt>
                <c:pt idx="5">
                  <c:v>3044</c:v>
                </c:pt>
                <c:pt idx="6">
                  <c:v>3197</c:v>
                </c:pt>
                <c:pt idx="7">
                  <c:v>3323</c:v>
                </c:pt>
                <c:pt idx="8">
                  <c:v>3352</c:v>
                </c:pt>
                <c:pt idx="9">
                  <c:v>3352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48-E541-963C-9CE995E9F8B4}"/>
            </c:ext>
          </c:extLst>
        </c:ser>
        <c:ser>
          <c:idx val="5"/>
          <c:order val="5"/>
          <c:tx>
            <c:strRef>
              <c:f>'Graph Decades'!$H$8</c:f>
              <c:strCache>
                <c:ptCount val="1"/>
                <c:pt idx="0">
                  <c:v>Ashe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Decades'!$I$2:$R$2</c:f>
              <c:numCache>
                <c:formatCode>General</c:formatCode>
                <c:ptCount val="1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</c:numCache>
            </c:numRef>
          </c:cat>
          <c:val>
            <c:numRef>
              <c:f>'Graph Decades'!$I$8:$R$8</c:f>
              <c:numCache>
                <c:formatCode>General</c:formatCode>
                <c:ptCount val="10"/>
                <c:pt idx="0">
                  <c:v>994</c:v>
                </c:pt>
                <c:pt idx="1">
                  <c:v>1795</c:v>
                </c:pt>
                <c:pt idx="2">
                  <c:v>2207</c:v>
                </c:pt>
                <c:pt idx="3">
                  <c:v>2306</c:v>
                </c:pt>
                <c:pt idx="4">
                  <c:v>2473</c:v>
                </c:pt>
                <c:pt idx="5">
                  <c:v>3015</c:v>
                </c:pt>
                <c:pt idx="6">
                  <c:v>3095</c:v>
                </c:pt>
                <c:pt idx="7">
                  <c:v>3079</c:v>
                </c:pt>
                <c:pt idx="8">
                  <c:v>3299</c:v>
                </c:pt>
                <c:pt idx="9">
                  <c:v>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48-E541-963C-9CE995E9F8B4}"/>
            </c:ext>
          </c:extLst>
        </c:ser>
        <c:ser>
          <c:idx val="6"/>
          <c:order val="6"/>
          <c:tx>
            <c:strRef>
              <c:f>'Graph Decades'!$H$9</c:f>
              <c:strCache>
                <c:ptCount val="1"/>
                <c:pt idx="0">
                  <c:v>Smith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Decades'!$I$2:$R$2</c:f>
              <c:numCache>
                <c:formatCode>General</c:formatCode>
                <c:ptCount val="1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</c:numCache>
            </c:numRef>
          </c:cat>
          <c:val>
            <c:numRef>
              <c:f>'Graph Decades'!$I$9:$R$9</c:f>
              <c:numCache>
                <c:formatCode>General</c:formatCode>
                <c:ptCount val="10"/>
                <c:pt idx="0">
                  <c:v>386</c:v>
                </c:pt>
                <c:pt idx="1">
                  <c:v>1391</c:v>
                </c:pt>
                <c:pt idx="2">
                  <c:v>2227</c:v>
                </c:pt>
                <c:pt idx="3">
                  <c:v>2657</c:v>
                </c:pt>
                <c:pt idx="4">
                  <c:v>2903</c:v>
                </c:pt>
                <c:pt idx="5">
                  <c:v>2805</c:v>
                </c:pt>
                <c:pt idx="6">
                  <c:v>2895</c:v>
                </c:pt>
                <c:pt idx="7">
                  <c:v>2947</c:v>
                </c:pt>
                <c:pt idx="8">
                  <c:v>2880</c:v>
                </c:pt>
                <c:pt idx="9">
                  <c:v>2923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48-E541-963C-9CE995E9F8B4}"/>
            </c:ext>
          </c:extLst>
        </c:ser>
        <c:ser>
          <c:idx val="7"/>
          <c:order val="7"/>
          <c:tx>
            <c:strRef>
              <c:f>'Graph Decades'!$H$10</c:f>
              <c:strCache>
                <c:ptCount val="1"/>
                <c:pt idx="0">
                  <c:v>McEnroe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Decades'!$I$2:$R$2</c:f>
              <c:numCache>
                <c:formatCode>General</c:formatCode>
                <c:ptCount val="1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</c:numCache>
            </c:numRef>
          </c:cat>
          <c:val>
            <c:numRef>
              <c:f>'Graph Decades'!$I$10:$R$10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369</c:v>
                </c:pt>
                <c:pt idx="8">
                  <c:v>528</c:v>
                </c:pt>
                <c:pt idx="9">
                  <c:v>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48-E541-963C-9CE995E9F8B4}"/>
            </c:ext>
          </c:extLst>
        </c:ser>
        <c:ser>
          <c:idx val="8"/>
          <c:order val="8"/>
          <c:tx>
            <c:strRef>
              <c:f>'Graph Decades'!$H$11</c:f>
              <c:strCache>
                <c:ptCount val="1"/>
                <c:pt idx="0">
                  <c:v>Laver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Decades'!$I$2:$R$2</c:f>
              <c:numCache>
                <c:formatCode>General</c:formatCode>
                <c:ptCount val="1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</c:numCache>
            </c:numRef>
          </c:cat>
          <c:val>
            <c:numRef>
              <c:f>'Graph Decades'!$I$11:$R$11</c:f>
              <c:numCache>
                <c:formatCode>General</c:formatCode>
                <c:ptCount val="10"/>
                <c:pt idx="0">
                  <c:v>175</c:v>
                </c:pt>
                <c:pt idx="1">
                  <c:v>446</c:v>
                </c:pt>
                <c:pt idx="2">
                  <c:v>515</c:v>
                </c:pt>
                <c:pt idx="3">
                  <c:v>573</c:v>
                </c:pt>
                <c:pt idx="4">
                  <c:v>573</c:v>
                </c:pt>
                <c:pt idx="5">
                  <c:v>747</c:v>
                </c:pt>
                <c:pt idx="6">
                  <c:v>747</c:v>
                </c:pt>
                <c:pt idx="7">
                  <c:v>739</c:v>
                </c:pt>
                <c:pt idx="8">
                  <c:v>739</c:v>
                </c:pt>
                <c:pt idx="9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48-E541-963C-9CE995E9F8B4}"/>
            </c:ext>
          </c:extLst>
        </c:ser>
        <c:ser>
          <c:idx val="9"/>
          <c:order val="9"/>
          <c:tx>
            <c:strRef>
              <c:f>'Graph Decades'!$H$12</c:f>
              <c:strCache>
                <c:ptCount val="1"/>
                <c:pt idx="0">
                  <c:v>Lendl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Decades'!$I$2:$R$2</c:f>
              <c:numCache>
                <c:formatCode>General</c:formatCode>
                <c:ptCount val="1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</c:numCache>
            </c:numRef>
          </c:cat>
          <c:val>
            <c:numRef>
              <c:f>'Graph Decades'!$I$12:$R$12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-99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48-E541-963C-9CE995E9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173935"/>
        <c:axId val="1716175615"/>
      </c:lineChart>
      <c:catAx>
        <c:axId val="171617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75615"/>
        <c:crosses val="autoZero"/>
        <c:auto val="1"/>
        <c:lblAlgn val="ctr"/>
        <c:lblOffset val="100"/>
        <c:noMultiLvlLbl val="0"/>
      </c:catAx>
      <c:valAx>
        <c:axId val="171617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7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1980s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Decades'!$V$3</c:f>
              <c:strCache>
                <c:ptCount val="1"/>
                <c:pt idx="0">
                  <c:v>Lendl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Decades'!$W$2:$AF$2</c:f>
              <c:numCache>
                <c:formatCode>General</c:formatCode>
                <c:ptCount val="1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</c:numCache>
            </c:numRef>
          </c:cat>
          <c:val>
            <c:numRef>
              <c:f>'Graph Decades'!$W$3:$AF$3</c:f>
              <c:numCache>
                <c:formatCode>General</c:formatCode>
                <c:ptCount val="10"/>
                <c:pt idx="0">
                  <c:v>213</c:v>
                </c:pt>
                <c:pt idx="1">
                  <c:v>546</c:v>
                </c:pt>
                <c:pt idx="2">
                  <c:v>968</c:v>
                </c:pt>
                <c:pt idx="3">
                  <c:v>1949</c:v>
                </c:pt>
                <c:pt idx="4">
                  <c:v>3166</c:v>
                </c:pt>
                <c:pt idx="5">
                  <c:v>4103</c:v>
                </c:pt>
                <c:pt idx="6">
                  <c:v>5352</c:v>
                </c:pt>
                <c:pt idx="7">
                  <c:v>6836</c:v>
                </c:pt>
                <c:pt idx="8">
                  <c:v>7754</c:v>
                </c:pt>
                <c:pt idx="9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9-5244-BD2E-E5C18120485E}"/>
            </c:ext>
          </c:extLst>
        </c:ser>
        <c:ser>
          <c:idx val="1"/>
          <c:order val="1"/>
          <c:tx>
            <c:strRef>
              <c:f>'Graph Decades'!$V$4</c:f>
              <c:strCache>
                <c:ptCount val="1"/>
                <c:pt idx="0">
                  <c:v>Wilander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Decades'!$W$2:$AF$2</c:f>
              <c:numCache>
                <c:formatCode>General</c:formatCode>
                <c:ptCount val="1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</c:numCache>
            </c:numRef>
          </c:cat>
          <c:val>
            <c:numRef>
              <c:f>'Graph Decades'!$W$4:$AF$4</c:f>
              <c:numCache>
                <c:formatCode>General</c:formatCode>
                <c:ptCount val="10"/>
                <c:pt idx="0">
                  <c:v>0</c:v>
                </c:pt>
                <c:pt idx="1">
                  <c:v>-98</c:v>
                </c:pt>
                <c:pt idx="2">
                  <c:v>636</c:v>
                </c:pt>
                <c:pt idx="3">
                  <c:v>1680</c:v>
                </c:pt>
                <c:pt idx="4">
                  <c:v>2407</c:v>
                </c:pt>
                <c:pt idx="5">
                  <c:v>3373</c:v>
                </c:pt>
                <c:pt idx="6">
                  <c:v>3420</c:v>
                </c:pt>
                <c:pt idx="7">
                  <c:v>4270</c:v>
                </c:pt>
                <c:pt idx="8">
                  <c:v>5780</c:v>
                </c:pt>
                <c:pt idx="9">
                  <c:v>5890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9-5244-BD2E-E5C18120485E}"/>
            </c:ext>
          </c:extLst>
        </c:ser>
        <c:ser>
          <c:idx val="2"/>
          <c:order val="2"/>
          <c:tx>
            <c:strRef>
              <c:f>'Graph Decades'!$V$5</c:f>
              <c:strCache>
                <c:ptCount val="1"/>
                <c:pt idx="0">
                  <c:v>McEnroe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Decades'!$W$2:$AF$2</c:f>
              <c:numCache>
                <c:formatCode>General</c:formatCode>
                <c:ptCount val="1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</c:numCache>
            </c:numRef>
          </c:cat>
          <c:val>
            <c:numRef>
              <c:f>'Graph Decades'!$W$5:$AF$5</c:f>
              <c:numCache>
                <c:formatCode>General</c:formatCode>
                <c:ptCount val="10"/>
                <c:pt idx="0">
                  <c:v>715</c:v>
                </c:pt>
                <c:pt idx="1">
                  <c:v>1837</c:v>
                </c:pt>
                <c:pt idx="2">
                  <c:v>2415</c:v>
                </c:pt>
                <c:pt idx="3">
                  <c:v>3039</c:v>
                </c:pt>
                <c:pt idx="4">
                  <c:v>4342</c:v>
                </c:pt>
                <c:pt idx="5">
                  <c:v>4950</c:v>
                </c:pt>
                <c:pt idx="6">
                  <c:v>4930</c:v>
                </c:pt>
                <c:pt idx="7">
                  <c:v>5088</c:v>
                </c:pt>
                <c:pt idx="8">
                  <c:v>5053</c:v>
                </c:pt>
                <c:pt idx="9">
                  <c:v>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9-5244-BD2E-E5C18120485E}"/>
            </c:ext>
          </c:extLst>
        </c:ser>
        <c:ser>
          <c:idx val="3"/>
          <c:order val="3"/>
          <c:tx>
            <c:strRef>
              <c:f>'Graph Decades'!$V$6</c:f>
              <c:strCache>
                <c:ptCount val="1"/>
                <c:pt idx="0">
                  <c:v>Connors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Decades'!$W$2:$AF$2</c:f>
              <c:numCache>
                <c:formatCode>General</c:formatCode>
                <c:ptCount val="1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</c:numCache>
            </c:numRef>
          </c:cat>
          <c:val>
            <c:numRef>
              <c:f>'Graph Decades'!$W$6:$AF$6</c:f>
              <c:numCache>
                <c:formatCode>General</c:formatCode>
                <c:ptCount val="10"/>
                <c:pt idx="0">
                  <c:v>751</c:v>
                </c:pt>
                <c:pt idx="1">
                  <c:v>1301</c:v>
                </c:pt>
                <c:pt idx="2">
                  <c:v>2388</c:v>
                </c:pt>
                <c:pt idx="3">
                  <c:v>3104</c:v>
                </c:pt>
                <c:pt idx="4">
                  <c:v>3800</c:v>
                </c:pt>
                <c:pt idx="5">
                  <c:v>4398</c:v>
                </c:pt>
                <c:pt idx="6">
                  <c:v>4301</c:v>
                </c:pt>
                <c:pt idx="7">
                  <c:v>4754</c:v>
                </c:pt>
                <c:pt idx="8">
                  <c:v>4721</c:v>
                </c:pt>
                <c:pt idx="9">
                  <c:v>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69-5244-BD2E-E5C18120485E}"/>
            </c:ext>
          </c:extLst>
        </c:ser>
        <c:ser>
          <c:idx val="4"/>
          <c:order val="4"/>
          <c:tx>
            <c:strRef>
              <c:f>'Graph Decades'!$V$7</c:f>
              <c:strCache>
                <c:ptCount val="1"/>
                <c:pt idx="0">
                  <c:v>Becker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Decades'!$W$2:$AF$2</c:f>
              <c:numCache>
                <c:formatCode>General</c:formatCode>
                <c:ptCount val="1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</c:numCache>
            </c:numRef>
          </c:cat>
          <c:val>
            <c:numRef>
              <c:f>'Graph Decades'!$W$7:$AF$7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203</c:v>
                </c:pt>
                <c:pt idx="5">
                  <c:v>700</c:v>
                </c:pt>
                <c:pt idx="6">
                  <c:v>1485</c:v>
                </c:pt>
                <c:pt idx="7">
                  <c:v>1778</c:v>
                </c:pt>
                <c:pt idx="8">
                  <c:v>2243</c:v>
                </c:pt>
                <c:pt idx="9">
                  <c:v>3369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69-5244-BD2E-E5C18120485E}"/>
            </c:ext>
          </c:extLst>
        </c:ser>
        <c:ser>
          <c:idx val="5"/>
          <c:order val="5"/>
          <c:tx>
            <c:strRef>
              <c:f>'Graph Decades'!$V$8</c:f>
              <c:strCache>
                <c:ptCount val="1"/>
                <c:pt idx="0">
                  <c:v>Edberg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Decades'!$W$2:$AF$2</c:f>
              <c:numCache>
                <c:formatCode>General</c:formatCode>
                <c:ptCount val="1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</c:numCache>
            </c:numRef>
          </c:cat>
          <c:val>
            <c:numRef>
              <c:f>'Graph Decades'!$W$8:$AF$8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-143</c:v>
                </c:pt>
                <c:pt idx="4">
                  <c:v>-17</c:v>
                </c:pt>
                <c:pt idx="5">
                  <c:v>775</c:v>
                </c:pt>
                <c:pt idx="6">
                  <c:v>1026</c:v>
                </c:pt>
                <c:pt idx="7">
                  <c:v>1790</c:v>
                </c:pt>
                <c:pt idx="8">
                  <c:v>2358</c:v>
                </c:pt>
                <c:pt idx="9">
                  <c:v>3122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69-5244-BD2E-E5C18120485E}"/>
            </c:ext>
          </c:extLst>
        </c:ser>
        <c:ser>
          <c:idx val="6"/>
          <c:order val="6"/>
          <c:tx>
            <c:strRef>
              <c:f>'Graph Decades'!$V$9</c:f>
              <c:strCache>
                <c:ptCount val="1"/>
                <c:pt idx="0">
                  <c:v>Borg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Decades'!$W$2:$AF$2</c:f>
              <c:numCache>
                <c:formatCode>General</c:formatCode>
                <c:ptCount val="1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</c:numCache>
            </c:numRef>
          </c:cat>
          <c:val>
            <c:numRef>
              <c:f>'Graph Decades'!$W$9:$AF$9</c:f>
              <c:numCache>
                <c:formatCode>General</c:formatCode>
                <c:ptCount val="10"/>
                <c:pt idx="0">
                  <c:v>1371</c:v>
                </c:pt>
                <c:pt idx="1">
                  <c:v>2547</c:v>
                </c:pt>
                <c:pt idx="2">
                  <c:v>2547</c:v>
                </c:pt>
                <c:pt idx="3">
                  <c:v>2547</c:v>
                </c:pt>
                <c:pt idx="4">
                  <c:v>2547</c:v>
                </c:pt>
                <c:pt idx="5">
                  <c:v>2547</c:v>
                </c:pt>
                <c:pt idx="6">
                  <c:v>2547</c:v>
                </c:pt>
                <c:pt idx="7">
                  <c:v>2547</c:v>
                </c:pt>
                <c:pt idx="8">
                  <c:v>2547</c:v>
                </c:pt>
                <c:pt idx="9">
                  <c:v>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69-5244-BD2E-E5C18120485E}"/>
            </c:ext>
          </c:extLst>
        </c:ser>
        <c:ser>
          <c:idx val="7"/>
          <c:order val="7"/>
          <c:tx>
            <c:strRef>
              <c:f>'Graph Decades'!$V$10</c:f>
              <c:strCache>
                <c:ptCount val="1"/>
                <c:pt idx="0">
                  <c:v>Vilas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Decades'!$W$2:$AF$2</c:f>
              <c:numCache>
                <c:formatCode>General</c:formatCode>
                <c:ptCount val="1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</c:numCache>
            </c:numRef>
          </c:cat>
          <c:val>
            <c:numRef>
              <c:f>'Graph Decades'!$W$10:$AF$10</c:f>
              <c:numCache>
                <c:formatCode>General</c:formatCode>
                <c:ptCount val="10"/>
                <c:pt idx="0">
                  <c:v>349</c:v>
                </c:pt>
                <c:pt idx="1">
                  <c:v>531</c:v>
                </c:pt>
                <c:pt idx="2">
                  <c:v>983</c:v>
                </c:pt>
                <c:pt idx="3">
                  <c:v>920</c:v>
                </c:pt>
                <c:pt idx="4">
                  <c:v>871</c:v>
                </c:pt>
                <c:pt idx="5">
                  <c:v>847</c:v>
                </c:pt>
                <c:pt idx="6">
                  <c:v>806</c:v>
                </c:pt>
                <c:pt idx="7">
                  <c:v>753</c:v>
                </c:pt>
                <c:pt idx="8">
                  <c:v>708</c:v>
                </c:pt>
                <c:pt idx="9">
                  <c:v>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69-5244-BD2E-E5C18120485E}"/>
            </c:ext>
          </c:extLst>
        </c:ser>
        <c:ser>
          <c:idx val="8"/>
          <c:order val="8"/>
          <c:tx>
            <c:strRef>
              <c:f>'Graph Decades'!$V$11</c:f>
              <c:strCache>
                <c:ptCount val="1"/>
                <c:pt idx="0">
                  <c:v>Agassi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Decades'!$W$2:$AF$2</c:f>
              <c:numCache>
                <c:formatCode>General</c:formatCode>
                <c:ptCount val="1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</c:numCache>
            </c:numRef>
          </c:cat>
          <c:val>
            <c:numRef>
              <c:f>'Graph Decades'!$W$11:$AF$11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-99</c:v>
                </c:pt>
                <c:pt idx="7">
                  <c:v>-210</c:v>
                </c:pt>
                <c:pt idx="8">
                  <c:v>170</c:v>
                </c:pt>
                <c:pt idx="9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69-5244-BD2E-E5C18120485E}"/>
            </c:ext>
          </c:extLst>
        </c:ser>
        <c:ser>
          <c:idx val="9"/>
          <c:order val="9"/>
          <c:tx>
            <c:strRef>
              <c:f>'Graph Decades'!$V$12</c:f>
              <c:strCache>
                <c:ptCount val="1"/>
                <c:pt idx="0">
                  <c:v>Courier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Decades'!$W$2:$AF$2</c:f>
              <c:numCache>
                <c:formatCode>General</c:formatCode>
                <c:ptCount val="1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</c:numCache>
            </c:numRef>
          </c:cat>
          <c:val>
            <c:numRef>
              <c:f>'Graph Decades'!$W$12:$AF$12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69-5244-BD2E-E5C18120485E}"/>
            </c:ext>
          </c:extLst>
        </c:ser>
        <c:ser>
          <c:idx val="10"/>
          <c:order val="10"/>
          <c:tx>
            <c:strRef>
              <c:f>'Graph Decades'!$V$13</c:f>
              <c:strCache>
                <c:ptCount val="1"/>
                <c:pt idx="0">
                  <c:v>Sampras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Decades'!$W$2:$AF$2</c:f>
              <c:numCache>
                <c:formatCode>General</c:formatCode>
                <c:ptCount val="1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</c:numCache>
            </c:numRef>
          </c:cat>
          <c:val>
            <c:numRef>
              <c:f>'Graph Decades'!$W$13:$AF$13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-69</c:v>
                </c:pt>
                <c:pt idx="9">
                  <c:v>-106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669-5244-BD2E-E5C18120485E}"/>
            </c:ext>
          </c:extLst>
        </c:ser>
        <c:ser>
          <c:idx val="11"/>
          <c:order val="11"/>
          <c:tx>
            <c:strRef>
              <c:f>'Graph Decades'!$V$14</c:f>
              <c:strCache>
                <c:ptCount val="1"/>
                <c:pt idx="0">
                  <c:v>Smith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Decades'!$W$2:$AF$2</c:f>
              <c:numCache>
                <c:formatCode>General</c:formatCode>
                <c:ptCount val="1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</c:numCache>
            </c:numRef>
          </c:cat>
          <c:val>
            <c:numRef>
              <c:f>'Graph Decades'!$W$14:$AF$14</c:f>
              <c:numCache>
                <c:formatCode>General</c:formatCode>
                <c:ptCount val="10"/>
                <c:pt idx="0">
                  <c:v>29</c:v>
                </c:pt>
                <c:pt idx="1">
                  <c:v>128</c:v>
                </c:pt>
                <c:pt idx="2">
                  <c:v>89</c:v>
                </c:pt>
                <c:pt idx="3">
                  <c:v>-108</c:v>
                </c:pt>
                <c:pt idx="4">
                  <c:v>-108</c:v>
                </c:pt>
                <c:pt idx="5">
                  <c:v>-108</c:v>
                </c:pt>
                <c:pt idx="6">
                  <c:v>-108</c:v>
                </c:pt>
                <c:pt idx="7">
                  <c:v>-108</c:v>
                </c:pt>
                <c:pt idx="8">
                  <c:v>-108</c:v>
                </c:pt>
                <c:pt idx="9">
                  <c:v>-108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669-5244-BD2E-E5C181204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869631"/>
        <c:axId val="1677581407"/>
      </c:lineChart>
      <c:catAx>
        <c:axId val="167586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81407"/>
        <c:crosses val="autoZero"/>
        <c:auto val="1"/>
        <c:lblAlgn val="ctr"/>
        <c:lblOffset val="100"/>
        <c:noMultiLvlLbl val="0"/>
      </c:catAx>
      <c:valAx>
        <c:axId val="16775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86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1990s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Decades'!$H$18</c:f>
              <c:strCache>
                <c:ptCount val="1"/>
                <c:pt idx="0">
                  <c:v>Sampras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Decades'!$I$17:$R$17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cat>
          <c:val>
            <c:numRef>
              <c:f>'Graph Decades'!$I$18:$R$18</c:f>
              <c:numCache>
                <c:formatCode>General</c:formatCode>
                <c:ptCount val="10"/>
                <c:pt idx="0">
                  <c:v>611</c:v>
                </c:pt>
                <c:pt idx="1">
                  <c:v>680</c:v>
                </c:pt>
                <c:pt idx="2">
                  <c:v>1415</c:v>
                </c:pt>
                <c:pt idx="3">
                  <c:v>2831</c:v>
                </c:pt>
                <c:pt idx="4">
                  <c:v>3930</c:v>
                </c:pt>
                <c:pt idx="5">
                  <c:v>4959</c:v>
                </c:pt>
                <c:pt idx="6">
                  <c:v>5955</c:v>
                </c:pt>
                <c:pt idx="7">
                  <c:v>6864</c:v>
                </c:pt>
                <c:pt idx="8">
                  <c:v>7633</c:v>
                </c:pt>
                <c:pt idx="9">
                  <c:v>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C-9040-896C-47392AF98050}"/>
            </c:ext>
          </c:extLst>
        </c:ser>
        <c:ser>
          <c:idx val="1"/>
          <c:order val="1"/>
          <c:tx>
            <c:strRef>
              <c:f>'Graph Decades'!$H$19</c:f>
              <c:strCache>
                <c:ptCount val="1"/>
                <c:pt idx="0">
                  <c:v>Agassi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Decades'!$I$17:$R$17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cat>
          <c:val>
            <c:numRef>
              <c:f>'Graph Decades'!$I$19:$R$19</c:f>
              <c:numCache>
                <c:formatCode>General</c:formatCode>
                <c:ptCount val="10"/>
                <c:pt idx="0">
                  <c:v>660</c:v>
                </c:pt>
                <c:pt idx="1">
                  <c:v>1114</c:v>
                </c:pt>
                <c:pt idx="2">
                  <c:v>2067</c:v>
                </c:pt>
                <c:pt idx="3">
                  <c:v>2173</c:v>
                </c:pt>
                <c:pt idx="4">
                  <c:v>2803</c:v>
                </c:pt>
                <c:pt idx="5">
                  <c:v>3873</c:v>
                </c:pt>
                <c:pt idx="6">
                  <c:v>4073</c:v>
                </c:pt>
                <c:pt idx="7">
                  <c:v>4119</c:v>
                </c:pt>
                <c:pt idx="8">
                  <c:v>4213</c:v>
                </c:pt>
                <c:pt idx="9">
                  <c:v>5172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C-9040-896C-47392AF98050}"/>
            </c:ext>
          </c:extLst>
        </c:ser>
        <c:ser>
          <c:idx val="2"/>
          <c:order val="2"/>
          <c:tx>
            <c:strRef>
              <c:f>'Graph Decades'!$H$20</c:f>
              <c:strCache>
                <c:ptCount val="1"/>
                <c:pt idx="0">
                  <c:v>Courier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Decades'!$I$17:$R$17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cat>
          <c:val>
            <c:numRef>
              <c:f>'Graph Decades'!$I$20:$R$20</c:f>
              <c:numCache>
                <c:formatCode>General</c:formatCode>
                <c:ptCount val="10"/>
                <c:pt idx="0">
                  <c:v>-54</c:v>
                </c:pt>
                <c:pt idx="1">
                  <c:v>925</c:v>
                </c:pt>
                <c:pt idx="2">
                  <c:v>2013</c:v>
                </c:pt>
                <c:pt idx="3">
                  <c:v>3182</c:v>
                </c:pt>
                <c:pt idx="4">
                  <c:v>3662</c:v>
                </c:pt>
                <c:pt idx="5">
                  <c:v>4133</c:v>
                </c:pt>
                <c:pt idx="6">
                  <c:v>4260</c:v>
                </c:pt>
                <c:pt idx="7">
                  <c:v>4121</c:v>
                </c:pt>
                <c:pt idx="8">
                  <c:v>4038</c:v>
                </c:pt>
                <c:pt idx="9">
                  <c:v>4093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C-9040-896C-47392AF98050}"/>
            </c:ext>
          </c:extLst>
        </c:ser>
        <c:ser>
          <c:idx val="3"/>
          <c:order val="3"/>
          <c:tx>
            <c:strRef>
              <c:f>'Graph Decades'!$H$21</c:f>
              <c:strCache>
                <c:ptCount val="1"/>
                <c:pt idx="0">
                  <c:v>Edberg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Decades'!$I$17:$R$17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cat>
          <c:val>
            <c:numRef>
              <c:f>'Graph Decades'!$I$21:$R$21</c:f>
              <c:numCache>
                <c:formatCode>General</c:formatCode>
                <c:ptCount val="10"/>
                <c:pt idx="0">
                  <c:v>623</c:v>
                </c:pt>
                <c:pt idx="1">
                  <c:v>1544</c:v>
                </c:pt>
                <c:pt idx="2">
                  <c:v>2362</c:v>
                </c:pt>
                <c:pt idx="3">
                  <c:v>2963</c:v>
                </c:pt>
                <c:pt idx="4">
                  <c:v>3023</c:v>
                </c:pt>
                <c:pt idx="5">
                  <c:v>3025</c:v>
                </c:pt>
                <c:pt idx="6">
                  <c:v>3446</c:v>
                </c:pt>
                <c:pt idx="7">
                  <c:v>3446</c:v>
                </c:pt>
                <c:pt idx="8">
                  <c:v>3446</c:v>
                </c:pt>
                <c:pt idx="9">
                  <c:v>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5C-9040-896C-47392AF98050}"/>
            </c:ext>
          </c:extLst>
        </c:ser>
        <c:ser>
          <c:idx val="4"/>
          <c:order val="4"/>
          <c:tx>
            <c:strRef>
              <c:f>'Graph Decades'!$H$22</c:f>
              <c:strCache>
                <c:ptCount val="1"/>
                <c:pt idx="0">
                  <c:v>Becker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Decades'!$I$17:$R$17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cat>
          <c:val>
            <c:numRef>
              <c:f>'Graph Decades'!$I$22:$R$22</c:f>
              <c:numCache>
                <c:formatCode>General</c:formatCode>
                <c:ptCount val="10"/>
                <c:pt idx="0">
                  <c:v>739</c:v>
                </c:pt>
                <c:pt idx="1">
                  <c:v>1795</c:v>
                </c:pt>
                <c:pt idx="2">
                  <c:v>2062</c:v>
                </c:pt>
                <c:pt idx="3">
                  <c:v>2251</c:v>
                </c:pt>
                <c:pt idx="4">
                  <c:v>2332</c:v>
                </c:pt>
                <c:pt idx="5">
                  <c:v>2640</c:v>
                </c:pt>
                <c:pt idx="6">
                  <c:v>3077</c:v>
                </c:pt>
                <c:pt idx="7">
                  <c:v>3222</c:v>
                </c:pt>
                <c:pt idx="8">
                  <c:v>3222</c:v>
                </c:pt>
                <c:pt idx="9">
                  <c:v>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5C-9040-896C-47392AF98050}"/>
            </c:ext>
          </c:extLst>
        </c:ser>
        <c:ser>
          <c:idx val="5"/>
          <c:order val="5"/>
          <c:tx>
            <c:strRef>
              <c:f>'Graph Decades'!$H$23</c:f>
              <c:strCache>
                <c:ptCount val="1"/>
                <c:pt idx="0">
                  <c:v>Lendl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Decades'!$I$17:$R$17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cat>
          <c:val>
            <c:numRef>
              <c:f>'Graph Decades'!$I$23:$R$23</c:f>
              <c:numCache>
                <c:formatCode>General</c:formatCode>
                <c:ptCount val="10"/>
                <c:pt idx="0">
                  <c:v>575</c:v>
                </c:pt>
                <c:pt idx="1">
                  <c:v>1295</c:v>
                </c:pt>
                <c:pt idx="2">
                  <c:v>1646</c:v>
                </c:pt>
                <c:pt idx="3">
                  <c:v>1363</c:v>
                </c:pt>
                <c:pt idx="4">
                  <c:v>1485</c:v>
                </c:pt>
                <c:pt idx="5">
                  <c:v>1485</c:v>
                </c:pt>
                <c:pt idx="6">
                  <c:v>1485</c:v>
                </c:pt>
                <c:pt idx="7">
                  <c:v>1485</c:v>
                </c:pt>
                <c:pt idx="8">
                  <c:v>1485</c:v>
                </c:pt>
                <c:pt idx="9">
                  <c:v>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5C-9040-896C-47392AF98050}"/>
            </c:ext>
          </c:extLst>
        </c:ser>
        <c:ser>
          <c:idx val="6"/>
          <c:order val="6"/>
          <c:tx>
            <c:strRef>
              <c:f>'Graph Decades'!$H$24</c:f>
              <c:strCache>
                <c:ptCount val="1"/>
                <c:pt idx="0">
                  <c:v>McEnroe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Decades'!$I$17:$R$17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cat>
          <c:val>
            <c:numRef>
              <c:f>'Graph Decades'!$I$24:$R$24</c:f>
              <c:numCache>
                <c:formatCode>General</c:formatCode>
                <c:ptCount val="10"/>
                <c:pt idx="0">
                  <c:v>202</c:v>
                </c:pt>
                <c:pt idx="1">
                  <c:v>202</c:v>
                </c:pt>
                <c:pt idx="2">
                  <c:v>574</c:v>
                </c:pt>
                <c:pt idx="3">
                  <c:v>574</c:v>
                </c:pt>
                <c:pt idx="4">
                  <c:v>574</c:v>
                </c:pt>
                <c:pt idx="5">
                  <c:v>574</c:v>
                </c:pt>
                <c:pt idx="6">
                  <c:v>574</c:v>
                </c:pt>
                <c:pt idx="7">
                  <c:v>574</c:v>
                </c:pt>
                <c:pt idx="8">
                  <c:v>574</c:v>
                </c:pt>
                <c:pt idx="9">
                  <c:v>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5C-9040-896C-47392AF98050}"/>
            </c:ext>
          </c:extLst>
        </c:ser>
        <c:ser>
          <c:idx val="7"/>
          <c:order val="7"/>
          <c:tx>
            <c:strRef>
              <c:f>'Graph Decades'!$H$25</c:f>
              <c:strCache>
                <c:ptCount val="1"/>
                <c:pt idx="0">
                  <c:v>Connors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Decades'!$I$17:$R$17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cat>
          <c:val>
            <c:numRef>
              <c:f>'Graph Decades'!$I$25:$R$25</c:f>
              <c:numCache>
                <c:formatCode>General</c:formatCode>
                <c:ptCount val="10"/>
                <c:pt idx="0">
                  <c:v>0</c:v>
                </c:pt>
                <c:pt idx="1">
                  <c:v>434</c:v>
                </c:pt>
                <c:pt idx="2">
                  <c:v>382</c:v>
                </c:pt>
                <c:pt idx="3">
                  <c:v>382</c:v>
                </c:pt>
                <c:pt idx="4">
                  <c:v>382</c:v>
                </c:pt>
                <c:pt idx="5">
                  <c:v>382</c:v>
                </c:pt>
                <c:pt idx="6">
                  <c:v>382</c:v>
                </c:pt>
                <c:pt idx="7">
                  <c:v>382</c:v>
                </c:pt>
                <c:pt idx="8">
                  <c:v>382</c:v>
                </c:pt>
                <c:pt idx="9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5C-9040-896C-47392AF98050}"/>
            </c:ext>
          </c:extLst>
        </c:ser>
        <c:ser>
          <c:idx val="8"/>
          <c:order val="8"/>
          <c:tx>
            <c:strRef>
              <c:f>'Graph Decades'!$H$26</c:f>
              <c:strCache>
                <c:ptCount val="1"/>
                <c:pt idx="0">
                  <c:v>Kuerten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Decades'!$I$17:$R$17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cat>
          <c:val>
            <c:numRef>
              <c:f>'Graph Decades'!$I$26:$R$26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-10</c:v>
                </c:pt>
                <c:pt idx="7">
                  <c:v>399</c:v>
                </c:pt>
                <c:pt idx="8">
                  <c:v>82</c:v>
                </c:pt>
                <c:pt idx="9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5C-9040-896C-47392AF98050}"/>
            </c:ext>
          </c:extLst>
        </c:ser>
        <c:ser>
          <c:idx val="9"/>
          <c:order val="9"/>
          <c:tx>
            <c:strRef>
              <c:f>'Graph Decades'!$H$27</c:f>
              <c:strCache>
                <c:ptCount val="1"/>
                <c:pt idx="0">
                  <c:v>Wilander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Decades'!$I$17:$R$17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cat>
          <c:val>
            <c:numRef>
              <c:f>'Graph Decades'!$I$27:$R$27</c:f>
              <c:numCache>
                <c:formatCode>General</c:formatCode>
                <c:ptCount val="10"/>
                <c:pt idx="0">
                  <c:v>185</c:v>
                </c:pt>
                <c:pt idx="1">
                  <c:v>145</c:v>
                </c:pt>
                <c:pt idx="2">
                  <c:v>145</c:v>
                </c:pt>
                <c:pt idx="3">
                  <c:v>223</c:v>
                </c:pt>
                <c:pt idx="4">
                  <c:v>82</c:v>
                </c:pt>
                <c:pt idx="5">
                  <c:v>44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5C-9040-896C-47392AF98050}"/>
            </c:ext>
          </c:extLst>
        </c:ser>
        <c:ser>
          <c:idx val="10"/>
          <c:order val="10"/>
          <c:tx>
            <c:strRef>
              <c:f>'Graph Decades'!$H$28</c:f>
              <c:strCache>
                <c:ptCount val="1"/>
                <c:pt idx="0">
                  <c:v>Federer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Decades'!$I$17:$R$17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cat>
          <c:val>
            <c:numRef>
              <c:f>'Graph Decades'!$I$28:$R$28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5C-9040-896C-47392AF98050}"/>
            </c:ext>
          </c:extLst>
        </c:ser>
        <c:ser>
          <c:idx val="11"/>
          <c:order val="11"/>
          <c:tx>
            <c:strRef>
              <c:f>'Graph Decades'!$H$29</c:f>
              <c:strCache>
                <c:ptCount val="1"/>
                <c:pt idx="0">
                  <c:v>Hewitt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Decades'!$I$17:$R$17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cat>
          <c:val>
            <c:numRef>
              <c:f>'Graph Decades'!$I$29:$R$29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-64</c:v>
                </c:pt>
                <c:pt idx="8">
                  <c:v>-118</c:v>
                </c:pt>
                <c:pt idx="9">
                  <c:v>-136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5C-9040-896C-47392AF98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131103"/>
        <c:axId val="1734132783"/>
      </c:lineChart>
      <c:catAx>
        <c:axId val="173413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132783"/>
        <c:crosses val="autoZero"/>
        <c:auto val="1"/>
        <c:lblAlgn val="ctr"/>
        <c:lblOffset val="100"/>
        <c:noMultiLvlLbl val="0"/>
      </c:catAx>
      <c:valAx>
        <c:axId val="17341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13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Decades'!$V$19</c:f>
              <c:strCache>
                <c:ptCount val="1"/>
                <c:pt idx="0">
                  <c:v>Federer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Decades'!$W$18:$AF$18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'Graph Decades'!$W$19:$AF$19</c:f>
              <c:numCache>
                <c:formatCode>General</c:formatCode>
                <c:ptCount val="10"/>
                <c:pt idx="0">
                  <c:v>17</c:v>
                </c:pt>
                <c:pt idx="1">
                  <c:v>483</c:v>
                </c:pt>
                <c:pt idx="2">
                  <c:v>455</c:v>
                </c:pt>
                <c:pt idx="3">
                  <c:v>949</c:v>
                </c:pt>
                <c:pt idx="4">
                  <c:v>2246</c:v>
                </c:pt>
                <c:pt idx="5">
                  <c:v>3662</c:v>
                </c:pt>
                <c:pt idx="6">
                  <c:v>5339</c:v>
                </c:pt>
                <c:pt idx="7">
                  <c:v>7189</c:v>
                </c:pt>
                <c:pt idx="8">
                  <c:v>8531</c:v>
                </c:pt>
                <c:pt idx="9">
                  <c:v>10390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4-8E4B-B2DE-37FEA78AC131}"/>
            </c:ext>
          </c:extLst>
        </c:ser>
        <c:ser>
          <c:idx val="1"/>
          <c:order val="1"/>
          <c:tx>
            <c:strRef>
              <c:f>'Graph Decades'!$V$20</c:f>
              <c:strCache>
                <c:ptCount val="1"/>
                <c:pt idx="0">
                  <c:v>Hewitt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Decades'!$W$18:$AF$18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'Graph Decades'!$W$20:$AF$20</c:f>
              <c:numCache>
                <c:formatCode>General</c:formatCode>
                <c:ptCount val="10"/>
                <c:pt idx="0">
                  <c:v>342</c:v>
                </c:pt>
                <c:pt idx="1">
                  <c:v>1039</c:v>
                </c:pt>
                <c:pt idx="2">
                  <c:v>1728</c:v>
                </c:pt>
                <c:pt idx="3">
                  <c:v>1894</c:v>
                </c:pt>
                <c:pt idx="4">
                  <c:v>2680</c:v>
                </c:pt>
                <c:pt idx="5">
                  <c:v>3557</c:v>
                </c:pt>
                <c:pt idx="6">
                  <c:v>4000</c:v>
                </c:pt>
                <c:pt idx="7">
                  <c:v>4234</c:v>
                </c:pt>
                <c:pt idx="8">
                  <c:v>4567</c:v>
                </c:pt>
                <c:pt idx="9">
                  <c:v>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4-8E4B-B2DE-37FEA78AC131}"/>
            </c:ext>
          </c:extLst>
        </c:ser>
        <c:ser>
          <c:idx val="2"/>
          <c:order val="2"/>
          <c:tx>
            <c:strRef>
              <c:f>'Graph Decades'!$V$21</c:f>
              <c:strCache>
                <c:ptCount val="1"/>
                <c:pt idx="0">
                  <c:v>Nadal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Decades'!$W$18:$AF$18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'Graph Decades'!$W$21:$AF$21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30</c:v>
                </c:pt>
                <c:pt idx="5">
                  <c:v>588</c:v>
                </c:pt>
                <c:pt idx="6">
                  <c:v>1323</c:v>
                </c:pt>
                <c:pt idx="7">
                  <c:v>2546</c:v>
                </c:pt>
                <c:pt idx="8">
                  <c:v>3817</c:v>
                </c:pt>
                <c:pt idx="9">
                  <c:v>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44-8E4B-B2DE-37FEA78AC131}"/>
            </c:ext>
          </c:extLst>
        </c:ser>
        <c:ser>
          <c:idx val="3"/>
          <c:order val="3"/>
          <c:tx>
            <c:strRef>
              <c:f>'Graph Decades'!$V$22</c:f>
              <c:strCache>
                <c:ptCount val="1"/>
                <c:pt idx="0">
                  <c:v>Roddick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Decades'!$W$18:$AF$18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'Graph Decades'!$W$22:$AF$22</c:f>
              <c:numCache>
                <c:formatCode>General</c:formatCode>
                <c:ptCount val="10"/>
                <c:pt idx="0">
                  <c:v>-24</c:v>
                </c:pt>
                <c:pt idx="1">
                  <c:v>182</c:v>
                </c:pt>
                <c:pt idx="2">
                  <c:v>336</c:v>
                </c:pt>
                <c:pt idx="3">
                  <c:v>1287</c:v>
                </c:pt>
                <c:pt idx="4">
                  <c:v>1799</c:v>
                </c:pt>
                <c:pt idx="5">
                  <c:v>2260</c:v>
                </c:pt>
                <c:pt idx="6">
                  <c:v>2470</c:v>
                </c:pt>
                <c:pt idx="7">
                  <c:v>2943</c:v>
                </c:pt>
                <c:pt idx="8">
                  <c:v>3226</c:v>
                </c:pt>
                <c:pt idx="9">
                  <c:v>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44-8E4B-B2DE-37FEA78AC131}"/>
            </c:ext>
          </c:extLst>
        </c:ser>
        <c:ser>
          <c:idx val="4"/>
          <c:order val="4"/>
          <c:tx>
            <c:strRef>
              <c:f>'Graph Decades'!$V$23</c:f>
              <c:strCache>
                <c:ptCount val="1"/>
                <c:pt idx="0">
                  <c:v>Agassi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Decades'!$W$18:$AF$18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'Graph Decades'!$W$23:$AF$23</c:f>
              <c:numCache>
                <c:formatCode>General</c:formatCode>
                <c:ptCount val="10"/>
                <c:pt idx="0">
                  <c:v>644</c:v>
                </c:pt>
                <c:pt idx="1">
                  <c:v>1555</c:v>
                </c:pt>
                <c:pt idx="2">
                  <c:v>1827</c:v>
                </c:pt>
                <c:pt idx="3">
                  <c:v>2676</c:v>
                </c:pt>
                <c:pt idx="4">
                  <c:v>2941</c:v>
                </c:pt>
                <c:pt idx="5">
                  <c:v>3350</c:v>
                </c:pt>
                <c:pt idx="6">
                  <c:v>3427</c:v>
                </c:pt>
                <c:pt idx="7">
                  <c:v>3427</c:v>
                </c:pt>
                <c:pt idx="8">
                  <c:v>3427</c:v>
                </c:pt>
                <c:pt idx="9">
                  <c:v>3427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44-8E4B-B2DE-37FEA78AC131}"/>
            </c:ext>
          </c:extLst>
        </c:ser>
        <c:ser>
          <c:idx val="5"/>
          <c:order val="5"/>
          <c:tx>
            <c:strRef>
              <c:f>'Graph Decades'!$V$24</c:f>
              <c:strCache>
                <c:ptCount val="1"/>
                <c:pt idx="0">
                  <c:v>Djokovic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Decades'!$W$18:$AF$18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'Graph Decades'!$W$24:$AF$24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146</c:v>
                </c:pt>
                <c:pt idx="6">
                  <c:v>585</c:v>
                </c:pt>
                <c:pt idx="7">
                  <c:v>1428</c:v>
                </c:pt>
                <c:pt idx="8">
                  <c:v>2283</c:v>
                </c:pt>
                <c:pt idx="9">
                  <c:v>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44-8E4B-B2DE-37FEA78AC131}"/>
            </c:ext>
          </c:extLst>
        </c:ser>
        <c:ser>
          <c:idx val="6"/>
          <c:order val="6"/>
          <c:tx>
            <c:strRef>
              <c:f>'Graph Decades'!$V$25</c:f>
              <c:strCache>
                <c:ptCount val="1"/>
                <c:pt idx="0">
                  <c:v>Sampras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Decades'!$W$18:$AF$18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'Graph Decades'!$W$25:$AF$25</c:f>
              <c:numCache>
                <c:formatCode>General</c:formatCode>
                <c:ptCount val="10"/>
                <c:pt idx="0">
                  <c:v>640</c:v>
                </c:pt>
                <c:pt idx="1">
                  <c:v>1091</c:v>
                </c:pt>
                <c:pt idx="2">
                  <c:v>1582</c:v>
                </c:pt>
                <c:pt idx="3">
                  <c:v>1582</c:v>
                </c:pt>
                <c:pt idx="4">
                  <c:v>1582</c:v>
                </c:pt>
                <c:pt idx="5">
                  <c:v>1582</c:v>
                </c:pt>
                <c:pt idx="6">
                  <c:v>1582</c:v>
                </c:pt>
                <c:pt idx="7">
                  <c:v>1582</c:v>
                </c:pt>
                <c:pt idx="8">
                  <c:v>1582</c:v>
                </c:pt>
                <c:pt idx="9">
                  <c:v>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44-8E4B-B2DE-37FEA78AC131}"/>
            </c:ext>
          </c:extLst>
        </c:ser>
        <c:ser>
          <c:idx val="7"/>
          <c:order val="7"/>
          <c:tx>
            <c:strRef>
              <c:f>'Graph Decades'!$V$26</c:f>
              <c:strCache>
                <c:ptCount val="1"/>
                <c:pt idx="0">
                  <c:v>Kuerten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Decades'!$W$18:$AF$18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'Graph Decades'!$W$26:$AF$26</c:f>
              <c:numCache>
                <c:formatCode>General</c:formatCode>
                <c:ptCount val="10"/>
                <c:pt idx="0">
                  <c:v>297</c:v>
                </c:pt>
                <c:pt idx="1">
                  <c:v>852</c:v>
                </c:pt>
                <c:pt idx="2">
                  <c:v>1048</c:v>
                </c:pt>
                <c:pt idx="3">
                  <c:v>854</c:v>
                </c:pt>
                <c:pt idx="4">
                  <c:v>992</c:v>
                </c:pt>
                <c:pt idx="5">
                  <c:v>909</c:v>
                </c:pt>
                <c:pt idx="6">
                  <c:v>909</c:v>
                </c:pt>
                <c:pt idx="7">
                  <c:v>909</c:v>
                </c:pt>
                <c:pt idx="8">
                  <c:v>891</c:v>
                </c:pt>
                <c:pt idx="9">
                  <c:v>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44-8E4B-B2DE-37FEA78AC131}"/>
            </c:ext>
          </c:extLst>
        </c:ser>
        <c:ser>
          <c:idx val="8"/>
          <c:order val="8"/>
          <c:tx>
            <c:strRef>
              <c:f>'Graph Decades'!$V$27</c:f>
              <c:strCache>
                <c:ptCount val="1"/>
                <c:pt idx="0">
                  <c:v>Courier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Decades'!$W$18:$AF$18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'Graph Decades'!$W$27:$AF$27</c:f>
              <c:numCache>
                <c:formatCode>General</c:formatCode>
                <c:ptCount val="10"/>
                <c:pt idx="0">
                  <c:v>-34</c:v>
                </c:pt>
                <c:pt idx="1">
                  <c:v>-34</c:v>
                </c:pt>
                <c:pt idx="2">
                  <c:v>-34</c:v>
                </c:pt>
                <c:pt idx="3">
                  <c:v>-34</c:v>
                </c:pt>
                <c:pt idx="4">
                  <c:v>-34</c:v>
                </c:pt>
                <c:pt idx="5">
                  <c:v>-34</c:v>
                </c:pt>
                <c:pt idx="6">
                  <c:v>-34</c:v>
                </c:pt>
                <c:pt idx="7">
                  <c:v>-34</c:v>
                </c:pt>
                <c:pt idx="8">
                  <c:v>-34</c:v>
                </c:pt>
                <c:pt idx="9">
                  <c:v>-34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44-8E4B-B2DE-37FEA78AC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516735"/>
        <c:axId val="1731162927"/>
      </c:lineChart>
      <c:catAx>
        <c:axId val="172851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62927"/>
        <c:crosses val="autoZero"/>
        <c:auto val="1"/>
        <c:lblAlgn val="ctr"/>
        <c:lblOffset val="100"/>
        <c:noMultiLvlLbl val="0"/>
      </c:catAx>
      <c:valAx>
        <c:axId val="173116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1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Decades'!$H$33</c:f>
              <c:strCache>
                <c:ptCount val="1"/>
                <c:pt idx="0">
                  <c:v>Djokovic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Decades'!$I$32:$R$32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'Graph Decades'!$I$33:$R$33</c:f>
              <c:numCache>
                <c:formatCode>General</c:formatCode>
                <c:ptCount val="10"/>
                <c:pt idx="0">
                  <c:v>769</c:v>
                </c:pt>
                <c:pt idx="1">
                  <c:v>2625</c:v>
                </c:pt>
                <c:pt idx="2">
                  <c:v>4059</c:v>
                </c:pt>
                <c:pt idx="3">
                  <c:v>5664</c:v>
                </c:pt>
                <c:pt idx="4">
                  <c:v>7107</c:v>
                </c:pt>
                <c:pt idx="5">
                  <c:v>9013</c:v>
                </c:pt>
                <c:pt idx="6">
                  <c:v>10345</c:v>
                </c:pt>
                <c:pt idx="7">
                  <c:v>10617</c:v>
                </c:pt>
                <c:pt idx="8">
                  <c:v>11807</c:v>
                </c:pt>
                <c:pt idx="9">
                  <c:v>12982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B-EA4D-8ADA-0643A9697BD5}"/>
            </c:ext>
          </c:extLst>
        </c:ser>
        <c:ser>
          <c:idx val="1"/>
          <c:order val="1"/>
          <c:tx>
            <c:strRef>
              <c:f>'Graph Decades'!$H$34</c:f>
              <c:strCache>
                <c:ptCount val="1"/>
                <c:pt idx="0">
                  <c:v>Nadal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Decades'!$I$32:$R$32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'Graph Decades'!$I$34:$R$34</c:f>
              <c:numCache>
                <c:formatCode>General</c:formatCode>
                <c:ptCount val="10"/>
                <c:pt idx="0">
                  <c:v>1674</c:v>
                </c:pt>
                <c:pt idx="1">
                  <c:v>2890</c:v>
                </c:pt>
                <c:pt idx="2">
                  <c:v>3592</c:v>
                </c:pt>
                <c:pt idx="3">
                  <c:v>4509</c:v>
                </c:pt>
                <c:pt idx="4">
                  <c:v>5373</c:v>
                </c:pt>
                <c:pt idx="5">
                  <c:v>5630</c:v>
                </c:pt>
                <c:pt idx="6">
                  <c:v>5574</c:v>
                </c:pt>
                <c:pt idx="7">
                  <c:v>7014</c:v>
                </c:pt>
                <c:pt idx="8">
                  <c:v>8109</c:v>
                </c:pt>
                <c:pt idx="9">
                  <c:v>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B-EA4D-8ADA-0643A9697BD5}"/>
            </c:ext>
          </c:extLst>
        </c:ser>
        <c:ser>
          <c:idx val="2"/>
          <c:order val="2"/>
          <c:tx>
            <c:strRef>
              <c:f>'Graph Decades'!$H$35</c:f>
              <c:strCache>
                <c:ptCount val="1"/>
                <c:pt idx="0">
                  <c:v>Federer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Decades'!$I$32:$R$32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'Graph Decades'!$I$35:$R$35</c:f>
              <c:numCache>
                <c:formatCode>General</c:formatCode>
                <c:ptCount val="10"/>
                <c:pt idx="0">
                  <c:v>1083</c:v>
                </c:pt>
                <c:pt idx="1">
                  <c:v>2357</c:v>
                </c:pt>
                <c:pt idx="2">
                  <c:v>3341</c:v>
                </c:pt>
                <c:pt idx="3">
                  <c:v>3931</c:v>
                </c:pt>
                <c:pt idx="4">
                  <c:v>4852</c:v>
                </c:pt>
                <c:pt idx="5">
                  <c:v>5927</c:v>
                </c:pt>
                <c:pt idx="6">
                  <c:v>6497</c:v>
                </c:pt>
                <c:pt idx="7">
                  <c:v>7640</c:v>
                </c:pt>
                <c:pt idx="8">
                  <c:v>8337</c:v>
                </c:pt>
                <c:pt idx="9">
                  <c:v>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1B-EA4D-8ADA-0643A9697BD5}"/>
            </c:ext>
          </c:extLst>
        </c:ser>
        <c:ser>
          <c:idx val="3"/>
          <c:order val="3"/>
          <c:tx>
            <c:strRef>
              <c:f>'Graph Decades'!$H$36</c:f>
              <c:strCache>
                <c:ptCount val="1"/>
                <c:pt idx="0">
                  <c:v>Roddick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Decades'!$I$32:$R$32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'Graph Decades'!$I$36:$R$36</c:f>
              <c:numCache>
                <c:formatCode>General</c:formatCode>
                <c:ptCount val="10"/>
                <c:pt idx="0">
                  <c:v>194</c:v>
                </c:pt>
                <c:pt idx="1">
                  <c:v>339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1B-EA4D-8ADA-0643A9697BD5}"/>
            </c:ext>
          </c:extLst>
        </c:ser>
        <c:ser>
          <c:idx val="4"/>
          <c:order val="4"/>
          <c:tx>
            <c:strRef>
              <c:f>'Graph Decades'!$H$37</c:f>
              <c:strCache>
                <c:ptCount val="1"/>
                <c:pt idx="0">
                  <c:v>Hewitt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'Graph Decades'!$I$32:$R$32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'Graph Decades'!$I$37:$R$37</c:f>
              <c:numCache>
                <c:formatCode>General</c:formatCode>
                <c:ptCount val="10"/>
                <c:pt idx="0">
                  <c:v>151</c:v>
                </c:pt>
                <c:pt idx="1">
                  <c:v>167</c:v>
                </c:pt>
                <c:pt idx="2">
                  <c:v>294</c:v>
                </c:pt>
                <c:pt idx="3">
                  <c:v>336</c:v>
                </c:pt>
                <c:pt idx="4">
                  <c:v>245</c:v>
                </c:pt>
                <c:pt idx="5">
                  <c:v>90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1B-EA4D-8ADA-0643A9697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125055"/>
        <c:axId val="1715988655"/>
      </c:lineChart>
      <c:catAx>
        <c:axId val="171612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88655"/>
        <c:crosses val="autoZero"/>
        <c:auto val="1"/>
        <c:lblAlgn val="ctr"/>
        <c:lblOffset val="100"/>
        <c:noMultiLvlLbl val="0"/>
      </c:catAx>
      <c:valAx>
        <c:axId val="171598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2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Year'!$A$2</c:f>
              <c:strCache>
                <c:ptCount val="1"/>
                <c:pt idx="0">
                  <c:v>Federer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'By Year'!$B$1:$X$1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'By Year'!$B$2:$X$2</c:f>
              <c:numCache>
                <c:formatCode>General</c:formatCode>
                <c:ptCount val="23"/>
                <c:pt idx="0">
                  <c:v>-61</c:v>
                </c:pt>
                <c:pt idx="1">
                  <c:v>-44</c:v>
                </c:pt>
                <c:pt idx="2">
                  <c:v>422</c:v>
                </c:pt>
                <c:pt idx="3">
                  <c:v>394</c:v>
                </c:pt>
                <c:pt idx="4">
                  <c:v>888</c:v>
                </c:pt>
                <c:pt idx="5">
                  <c:v>2185</c:v>
                </c:pt>
                <c:pt idx="6">
                  <c:v>3601</c:v>
                </c:pt>
                <c:pt idx="7">
                  <c:v>5278</c:v>
                </c:pt>
                <c:pt idx="8">
                  <c:v>7128</c:v>
                </c:pt>
                <c:pt idx="9">
                  <c:v>8470</c:v>
                </c:pt>
                <c:pt idx="10">
                  <c:v>10329</c:v>
                </c:pt>
                <c:pt idx="11">
                  <c:v>11412</c:v>
                </c:pt>
                <c:pt idx="12">
                  <c:v>12686</c:v>
                </c:pt>
                <c:pt idx="13">
                  <c:v>13670</c:v>
                </c:pt>
                <c:pt idx="14">
                  <c:v>14260</c:v>
                </c:pt>
                <c:pt idx="15">
                  <c:v>15181</c:v>
                </c:pt>
                <c:pt idx="16">
                  <c:v>16256</c:v>
                </c:pt>
                <c:pt idx="17">
                  <c:v>16826</c:v>
                </c:pt>
                <c:pt idx="18">
                  <c:v>17969</c:v>
                </c:pt>
                <c:pt idx="19">
                  <c:v>18666</c:v>
                </c:pt>
                <c:pt idx="20">
                  <c:v>19338</c:v>
                </c:pt>
                <c:pt idx="21">
                  <c:v>19527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8-AF42-A9D0-656EAD0894C2}"/>
            </c:ext>
          </c:extLst>
        </c:ser>
        <c:ser>
          <c:idx val="1"/>
          <c:order val="1"/>
          <c:tx>
            <c:strRef>
              <c:f>'By Year'!$A$3</c:f>
              <c:strCache>
                <c:ptCount val="1"/>
                <c:pt idx="0">
                  <c:v>Nadal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'By Year'!$B$1:$X$1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'By Year'!$B$3:$X$3</c:f>
              <c:numCache>
                <c:formatCode>General</c:formatCode>
                <c:ptCount val="23"/>
                <c:pt idx="0">
                  <c:v>32</c:v>
                </c:pt>
                <c:pt idx="1">
                  <c:v>30</c:v>
                </c:pt>
                <c:pt idx="2">
                  <c:v>588</c:v>
                </c:pt>
                <c:pt idx="3">
                  <c:v>1323</c:v>
                </c:pt>
                <c:pt idx="4">
                  <c:v>2546</c:v>
                </c:pt>
                <c:pt idx="5">
                  <c:v>3817</c:v>
                </c:pt>
                <c:pt idx="6">
                  <c:v>4657</c:v>
                </c:pt>
                <c:pt idx="7">
                  <c:v>6331</c:v>
                </c:pt>
                <c:pt idx="8">
                  <c:v>7547</c:v>
                </c:pt>
                <c:pt idx="9">
                  <c:v>8249</c:v>
                </c:pt>
                <c:pt idx="10">
                  <c:v>9166</c:v>
                </c:pt>
                <c:pt idx="11">
                  <c:v>10030</c:v>
                </c:pt>
                <c:pt idx="12">
                  <c:v>10287</c:v>
                </c:pt>
                <c:pt idx="13">
                  <c:v>10231</c:v>
                </c:pt>
                <c:pt idx="14">
                  <c:v>11671</c:v>
                </c:pt>
                <c:pt idx="15">
                  <c:v>12766</c:v>
                </c:pt>
                <c:pt idx="16">
                  <c:v>14128</c:v>
                </c:pt>
                <c:pt idx="17">
                  <c:v>14666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8-AF42-A9D0-656EAD0894C2}"/>
            </c:ext>
          </c:extLst>
        </c:ser>
        <c:ser>
          <c:idx val="2"/>
          <c:order val="2"/>
          <c:tx>
            <c:strRef>
              <c:f>'By Year'!$A$4</c:f>
              <c:strCache>
                <c:ptCount val="1"/>
                <c:pt idx="0">
                  <c:v>Sampras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'By Year'!$B$1:$X$1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'By Year'!$B$4:$X$4</c:f>
              <c:numCache>
                <c:formatCode>General</c:formatCode>
                <c:ptCount val="23"/>
                <c:pt idx="0">
                  <c:v>-69</c:v>
                </c:pt>
                <c:pt idx="1">
                  <c:v>-106</c:v>
                </c:pt>
                <c:pt idx="2">
                  <c:v>505</c:v>
                </c:pt>
                <c:pt idx="3">
                  <c:v>574</c:v>
                </c:pt>
                <c:pt idx="4">
                  <c:v>1309</c:v>
                </c:pt>
                <c:pt idx="5">
                  <c:v>2725</c:v>
                </c:pt>
                <c:pt idx="6">
                  <c:v>3824</c:v>
                </c:pt>
                <c:pt idx="7">
                  <c:v>4853</c:v>
                </c:pt>
                <c:pt idx="8">
                  <c:v>5849</c:v>
                </c:pt>
                <c:pt idx="9">
                  <c:v>6758</c:v>
                </c:pt>
                <c:pt idx="10">
                  <c:v>7527</c:v>
                </c:pt>
                <c:pt idx="11">
                  <c:v>7809</c:v>
                </c:pt>
                <c:pt idx="12">
                  <c:v>8449</c:v>
                </c:pt>
                <c:pt idx="13">
                  <c:v>8900</c:v>
                </c:pt>
                <c:pt idx="14">
                  <c:v>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8-AF42-A9D0-656EAD0894C2}"/>
            </c:ext>
          </c:extLst>
        </c:ser>
        <c:ser>
          <c:idx val="3"/>
          <c:order val="3"/>
          <c:tx>
            <c:strRef>
              <c:f>'By Year'!$A$5</c:f>
              <c:strCache>
                <c:ptCount val="1"/>
                <c:pt idx="0">
                  <c:v>Djokovic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'By Year'!$B$1:$X$1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'By Year'!$B$5:$X$5</c:f>
              <c:numCache>
                <c:formatCode>General</c:formatCode>
                <c:ptCount val="23"/>
                <c:pt idx="0">
                  <c:v>146</c:v>
                </c:pt>
                <c:pt idx="1">
                  <c:v>585</c:v>
                </c:pt>
                <c:pt idx="2">
                  <c:v>1428</c:v>
                </c:pt>
                <c:pt idx="3">
                  <c:v>2283</c:v>
                </c:pt>
                <c:pt idx="4">
                  <c:v>2665</c:v>
                </c:pt>
                <c:pt idx="5">
                  <c:v>3434</c:v>
                </c:pt>
                <c:pt idx="6">
                  <c:v>5290</c:v>
                </c:pt>
                <c:pt idx="7">
                  <c:v>6724</c:v>
                </c:pt>
                <c:pt idx="8">
                  <c:v>8329</c:v>
                </c:pt>
                <c:pt idx="9">
                  <c:v>9772</c:v>
                </c:pt>
                <c:pt idx="10">
                  <c:v>11678</c:v>
                </c:pt>
                <c:pt idx="11">
                  <c:v>13010</c:v>
                </c:pt>
                <c:pt idx="12">
                  <c:v>13282</c:v>
                </c:pt>
                <c:pt idx="13">
                  <c:v>14472</c:v>
                </c:pt>
                <c:pt idx="14">
                  <c:v>15647</c:v>
                </c:pt>
                <c:pt idx="15">
                  <c:v>16586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28-AF42-A9D0-656EAD0894C2}"/>
            </c:ext>
          </c:extLst>
        </c:ser>
        <c:ser>
          <c:idx val="4"/>
          <c:order val="4"/>
          <c:tx>
            <c:strRef>
              <c:f>'By Year'!$A$6</c:f>
              <c:strCache>
                <c:ptCount val="1"/>
                <c:pt idx="0">
                  <c:v>Borg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'By Year'!$B$1:$X$1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'By Year'!$B$6:$X$6</c:f>
              <c:numCache>
                <c:formatCode>General</c:formatCode>
                <c:ptCount val="23"/>
                <c:pt idx="0">
                  <c:v>358</c:v>
                </c:pt>
                <c:pt idx="1">
                  <c:v>710</c:v>
                </c:pt>
                <c:pt idx="2">
                  <c:v>1639</c:v>
                </c:pt>
                <c:pt idx="3">
                  <c:v>2629</c:v>
                </c:pt>
                <c:pt idx="4">
                  <c:v>3204</c:v>
                </c:pt>
                <c:pt idx="5">
                  <c:v>4496</c:v>
                </c:pt>
                <c:pt idx="6">
                  <c:v>5430</c:v>
                </c:pt>
                <c:pt idx="7">
                  <c:v>6801</c:v>
                </c:pt>
                <c:pt idx="8">
                  <c:v>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28-AF42-A9D0-656EAD0894C2}"/>
            </c:ext>
          </c:extLst>
        </c:ser>
        <c:ser>
          <c:idx val="5"/>
          <c:order val="5"/>
          <c:tx>
            <c:strRef>
              <c:f>'By Year'!$A$7</c:f>
              <c:strCache>
                <c:ptCount val="1"/>
                <c:pt idx="0">
                  <c:v>Connors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'By Year'!$B$1:$X$1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'By Year'!$B$7:$X$7</c:f>
              <c:numCache>
                <c:formatCode>General</c:formatCode>
                <c:ptCount val="23"/>
                <c:pt idx="0">
                  <c:v>-18</c:v>
                </c:pt>
                <c:pt idx="1">
                  <c:v>-61</c:v>
                </c:pt>
                <c:pt idx="2">
                  <c:v>146</c:v>
                </c:pt>
                <c:pt idx="3">
                  <c:v>312</c:v>
                </c:pt>
                <c:pt idx="4">
                  <c:v>1686</c:v>
                </c:pt>
                <c:pt idx="5">
                  <c:v>2638</c:v>
                </c:pt>
                <c:pt idx="6">
                  <c:v>3177</c:v>
                </c:pt>
                <c:pt idx="7">
                  <c:v>3860</c:v>
                </c:pt>
                <c:pt idx="8">
                  <c:v>4787</c:v>
                </c:pt>
                <c:pt idx="9">
                  <c:v>5593</c:v>
                </c:pt>
                <c:pt idx="10">
                  <c:v>6344</c:v>
                </c:pt>
                <c:pt idx="11">
                  <c:v>6894</c:v>
                </c:pt>
                <c:pt idx="12">
                  <c:v>7981</c:v>
                </c:pt>
                <c:pt idx="13">
                  <c:v>8697</c:v>
                </c:pt>
                <c:pt idx="14">
                  <c:v>9393</c:v>
                </c:pt>
                <c:pt idx="15">
                  <c:v>9991</c:v>
                </c:pt>
                <c:pt idx="16">
                  <c:v>9894</c:v>
                </c:pt>
                <c:pt idx="17">
                  <c:v>10347</c:v>
                </c:pt>
                <c:pt idx="18">
                  <c:v>10314</c:v>
                </c:pt>
                <c:pt idx="19">
                  <c:v>10488</c:v>
                </c:pt>
                <c:pt idx="20">
                  <c:v>10488</c:v>
                </c:pt>
                <c:pt idx="21">
                  <c:v>10922</c:v>
                </c:pt>
                <c:pt idx="22">
                  <c:v>10870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28-AF42-A9D0-656EAD0894C2}"/>
            </c:ext>
          </c:extLst>
        </c:ser>
        <c:ser>
          <c:idx val="6"/>
          <c:order val="6"/>
          <c:tx>
            <c:strRef>
              <c:f>'By Year'!$A$8</c:f>
              <c:strCache>
                <c:ptCount val="1"/>
                <c:pt idx="0">
                  <c:v>Lendl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Year'!$B$1:$X$1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'By Year'!$B$8:$X$8</c:f>
              <c:numCache>
                <c:formatCode>General</c:formatCode>
                <c:ptCount val="23"/>
                <c:pt idx="0">
                  <c:v>-99</c:v>
                </c:pt>
                <c:pt idx="1">
                  <c:v>32</c:v>
                </c:pt>
                <c:pt idx="2">
                  <c:v>245</c:v>
                </c:pt>
                <c:pt idx="3">
                  <c:v>578</c:v>
                </c:pt>
                <c:pt idx="4">
                  <c:v>1000</c:v>
                </c:pt>
                <c:pt idx="5">
                  <c:v>1981</c:v>
                </c:pt>
                <c:pt idx="6">
                  <c:v>3198</c:v>
                </c:pt>
                <c:pt idx="7">
                  <c:v>4135</c:v>
                </c:pt>
                <c:pt idx="8">
                  <c:v>5384</c:v>
                </c:pt>
                <c:pt idx="9">
                  <c:v>6868</c:v>
                </c:pt>
                <c:pt idx="10">
                  <c:v>7786</c:v>
                </c:pt>
                <c:pt idx="11">
                  <c:v>8938</c:v>
                </c:pt>
                <c:pt idx="12">
                  <c:v>9513</c:v>
                </c:pt>
                <c:pt idx="13">
                  <c:v>10233</c:v>
                </c:pt>
                <c:pt idx="14">
                  <c:v>10584</c:v>
                </c:pt>
                <c:pt idx="15">
                  <c:v>10301</c:v>
                </c:pt>
                <c:pt idx="16">
                  <c:v>10423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28-AF42-A9D0-656EAD0894C2}"/>
            </c:ext>
          </c:extLst>
        </c:ser>
        <c:ser>
          <c:idx val="7"/>
          <c:order val="7"/>
          <c:tx>
            <c:strRef>
              <c:f>'By Year'!$A$9</c:f>
              <c:strCache>
                <c:ptCount val="1"/>
                <c:pt idx="0">
                  <c:v>Agassi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Year'!$B$1:$X$1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'By Year'!$B$9:$X$9</c:f>
              <c:numCache>
                <c:formatCode>General</c:formatCode>
                <c:ptCount val="23"/>
                <c:pt idx="0">
                  <c:v>-99</c:v>
                </c:pt>
                <c:pt idx="1">
                  <c:v>-210</c:v>
                </c:pt>
                <c:pt idx="2">
                  <c:v>170</c:v>
                </c:pt>
                <c:pt idx="3">
                  <c:v>292</c:v>
                </c:pt>
                <c:pt idx="4">
                  <c:v>952</c:v>
                </c:pt>
                <c:pt idx="5">
                  <c:v>1406</c:v>
                </c:pt>
                <c:pt idx="6">
                  <c:v>2359</c:v>
                </c:pt>
                <c:pt idx="7">
                  <c:v>2465</c:v>
                </c:pt>
                <c:pt idx="8">
                  <c:v>3095</c:v>
                </c:pt>
                <c:pt idx="9">
                  <c:v>4165</c:v>
                </c:pt>
                <c:pt idx="10">
                  <c:v>4365</c:v>
                </c:pt>
                <c:pt idx="11">
                  <c:v>4411</c:v>
                </c:pt>
                <c:pt idx="12">
                  <c:v>4505</c:v>
                </c:pt>
                <c:pt idx="13">
                  <c:v>5464</c:v>
                </c:pt>
                <c:pt idx="14">
                  <c:v>6108</c:v>
                </c:pt>
                <c:pt idx="15">
                  <c:v>7019</c:v>
                </c:pt>
                <c:pt idx="16">
                  <c:v>7291</c:v>
                </c:pt>
                <c:pt idx="17">
                  <c:v>8140</c:v>
                </c:pt>
                <c:pt idx="18">
                  <c:v>8405</c:v>
                </c:pt>
                <c:pt idx="19">
                  <c:v>8814</c:v>
                </c:pt>
                <c:pt idx="20">
                  <c:v>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28-AF42-A9D0-656EAD0894C2}"/>
            </c:ext>
          </c:extLst>
        </c:ser>
        <c:ser>
          <c:idx val="8"/>
          <c:order val="8"/>
          <c:tx>
            <c:strRef>
              <c:f>'By Year'!$A$10</c:f>
              <c:strCache>
                <c:ptCount val="1"/>
                <c:pt idx="0">
                  <c:v>McEnroe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Year'!$B$1:$X$1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'By Year'!$B$10:$X$10</c:f>
              <c:numCache>
                <c:formatCode>General</c:formatCode>
                <c:ptCount val="23"/>
                <c:pt idx="0">
                  <c:v>369</c:v>
                </c:pt>
                <c:pt idx="1">
                  <c:v>528</c:v>
                </c:pt>
                <c:pt idx="2">
                  <c:v>1139</c:v>
                </c:pt>
                <c:pt idx="3">
                  <c:v>1854</c:v>
                </c:pt>
                <c:pt idx="4">
                  <c:v>2976</c:v>
                </c:pt>
                <c:pt idx="5">
                  <c:v>3554</c:v>
                </c:pt>
                <c:pt idx="6">
                  <c:v>4178</c:v>
                </c:pt>
                <c:pt idx="7">
                  <c:v>5481</c:v>
                </c:pt>
                <c:pt idx="8">
                  <c:v>6089</c:v>
                </c:pt>
                <c:pt idx="9">
                  <c:v>6069</c:v>
                </c:pt>
                <c:pt idx="10">
                  <c:v>6227</c:v>
                </c:pt>
                <c:pt idx="11">
                  <c:v>6192</c:v>
                </c:pt>
                <c:pt idx="12">
                  <c:v>6503</c:v>
                </c:pt>
                <c:pt idx="13">
                  <c:v>6705</c:v>
                </c:pt>
                <c:pt idx="14">
                  <c:v>6705</c:v>
                </c:pt>
                <c:pt idx="15">
                  <c:v>7077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28-AF42-A9D0-656EAD0894C2}"/>
            </c:ext>
          </c:extLst>
        </c:ser>
        <c:ser>
          <c:idx val="9"/>
          <c:order val="9"/>
          <c:tx>
            <c:strRef>
              <c:f>'By Year'!$A$11</c:f>
              <c:strCache>
                <c:ptCount val="1"/>
                <c:pt idx="0">
                  <c:v>Wilander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Year'!$B$1:$X$1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'By Year'!$B$11:$X$11</c:f>
              <c:numCache>
                <c:formatCode>General</c:formatCode>
                <c:ptCount val="23"/>
                <c:pt idx="0">
                  <c:v>-98</c:v>
                </c:pt>
                <c:pt idx="1">
                  <c:v>636</c:v>
                </c:pt>
                <c:pt idx="2">
                  <c:v>1680</c:v>
                </c:pt>
                <c:pt idx="3">
                  <c:v>2407</c:v>
                </c:pt>
                <c:pt idx="4">
                  <c:v>3373</c:v>
                </c:pt>
                <c:pt idx="5">
                  <c:v>3420</c:v>
                </c:pt>
                <c:pt idx="6">
                  <c:v>4270</c:v>
                </c:pt>
                <c:pt idx="7">
                  <c:v>5780</c:v>
                </c:pt>
                <c:pt idx="8">
                  <c:v>5890</c:v>
                </c:pt>
                <c:pt idx="9">
                  <c:v>6075</c:v>
                </c:pt>
                <c:pt idx="10">
                  <c:v>6035</c:v>
                </c:pt>
                <c:pt idx="11">
                  <c:v>6035</c:v>
                </c:pt>
                <c:pt idx="12">
                  <c:v>6113</c:v>
                </c:pt>
                <c:pt idx="13">
                  <c:v>5972</c:v>
                </c:pt>
                <c:pt idx="14">
                  <c:v>5934</c:v>
                </c:pt>
                <c:pt idx="15">
                  <c:v>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28-AF42-A9D0-656EAD0894C2}"/>
            </c:ext>
          </c:extLst>
        </c:ser>
        <c:ser>
          <c:idx val="10"/>
          <c:order val="10"/>
          <c:tx>
            <c:strRef>
              <c:f>'By Year'!$A$12</c:f>
              <c:strCache>
                <c:ptCount val="1"/>
                <c:pt idx="0">
                  <c:v>Edberg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Year'!$B$1:$X$1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'By Year'!$B$12:$X$12</c:f>
              <c:numCache>
                <c:formatCode>General</c:formatCode>
                <c:ptCount val="23"/>
                <c:pt idx="0">
                  <c:v>-143</c:v>
                </c:pt>
                <c:pt idx="1">
                  <c:v>-17</c:v>
                </c:pt>
                <c:pt idx="2">
                  <c:v>775</c:v>
                </c:pt>
                <c:pt idx="3">
                  <c:v>1026</c:v>
                </c:pt>
                <c:pt idx="4">
                  <c:v>1790</c:v>
                </c:pt>
                <c:pt idx="5">
                  <c:v>2358</c:v>
                </c:pt>
                <c:pt idx="6">
                  <c:v>3122</c:v>
                </c:pt>
                <c:pt idx="7">
                  <c:v>3745</c:v>
                </c:pt>
                <c:pt idx="8">
                  <c:v>4666</c:v>
                </c:pt>
                <c:pt idx="9">
                  <c:v>5484</c:v>
                </c:pt>
                <c:pt idx="10">
                  <c:v>6085</c:v>
                </c:pt>
                <c:pt idx="11">
                  <c:v>6145</c:v>
                </c:pt>
                <c:pt idx="12">
                  <c:v>6147</c:v>
                </c:pt>
                <c:pt idx="13">
                  <c:v>6568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8-AF42-A9D0-656EAD0894C2}"/>
            </c:ext>
          </c:extLst>
        </c:ser>
        <c:ser>
          <c:idx val="11"/>
          <c:order val="11"/>
          <c:tx>
            <c:strRef>
              <c:f>'By Year'!$A$13</c:f>
              <c:strCache>
                <c:ptCount val="1"/>
                <c:pt idx="0">
                  <c:v>Becker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Year'!$B$1:$X$1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'By Year'!$B$13:$X$13</c:f>
              <c:numCache>
                <c:formatCode>General</c:formatCode>
                <c:ptCount val="23"/>
                <c:pt idx="0">
                  <c:v>203</c:v>
                </c:pt>
                <c:pt idx="1">
                  <c:v>700</c:v>
                </c:pt>
                <c:pt idx="2">
                  <c:v>1485</c:v>
                </c:pt>
                <c:pt idx="3">
                  <c:v>1778</c:v>
                </c:pt>
                <c:pt idx="4">
                  <c:v>2243</c:v>
                </c:pt>
                <c:pt idx="5">
                  <c:v>3369</c:v>
                </c:pt>
                <c:pt idx="6">
                  <c:v>4108</c:v>
                </c:pt>
                <c:pt idx="7">
                  <c:v>5164</c:v>
                </c:pt>
                <c:pt idx="8">
                  <c:v>5431</c:v>
                </c:pt>
                <c:pt idx="9">
                  <c:v>5620</c:v>
                </c:pt>
                <c:pt idx="10">
                  <c:v>5701</c:v>
                </c:pt>
                <c:pt idx="11">
                  <c:v>6009</c:v>
                </c:pt>
                <c:pt idx="12">
                  <c:v>6446</c:v>
                </c:pt>
                <c:pt idx="13">
                  <c:v>6591</c:v>
                </c:pt>
                <c:pt idx="14">
                  <c:v>6591</c:v>
                </c:pt>
                <c:pt idx="15">
                  <c:v>6740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28-AF42-A9D0-656EAD089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10183072"/>
        <c:axId val="-1410181440"/>
      </c:lineChart>
      <c:catAx>
        <c:axId val="-141018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0181440"/>
        <c:crosses val="autoZero"/>
        <c:auto val="1"/>
        <c:lblAlgn val="ctr"/>
        <c:lblOffset val="100"/>
        <c:noMultiLvlLbl val="0"/>
      </c:catAx>
      <c:valAx>
        <c:axId val="-14101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01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Tournament'!$A$2</c:f>
              <c:strCache>
                <c:ptCount val="1"/>
                <c:pt idx="0">
                  <c:v>Federer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'By Tournament'!$B$1:$BX$1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'By Tournament'!$B$2:$BX$2</c:f>
              <c:numCache>
                <c:formatCode>General</c:formatCode>
                <c:ptCount val="75"/>
                <c:pt idx="0">
                  <c:v>-3</c:v>
                </c:pt>
                <c:pt idx="1">
                  <c:v>-61</c:v>
                </c:pt>
                <c:pt idx="2">
                  <c:v>-52</c:v>
                </c:pt>
                <c:pt idx="3">
                  <c:v>-29</c:v>
                </c:pt>
                <c:pt idx="4">
                  <c:v>-34</c:v>
                </c:pt>
                <c:pt idx="5">
                  <c:v>-44</c:v>
                </c:pt>
                <c:pt idx="6">
                  <c:v>34</c:v>
                </c:pt>
                <c:pt idx="7">
                  <c:v>85</c:v>
                </c:pt>
                <c:pt idx="8">
                  <c:v>319</c:v>
                </c:pt>
                <c:pt idx="9">
                  <c:v>422</c:v>
                </c:pt>
                <c:pt idx="10">
                  <c:v>487</c:v>
                </c:pt>
                <c:pt idx="11">
                  <c:v>442</c:v>
                </c:pt>
                <c:pt idx="12">
                  <c:v>343</c:v>
                </c:pt>
                <c:pt idx="13">
                  <c:v>394</c:v>
                </c:pt>
                <c:pt idx="14">
                  <c:v>426</c:v>
                </c:pt>
                <c:pt idx="15">
                  <c:v>338</c:v>
                </c:pt>
                <c:pt idx="16">
                  <c:v>805</c:v>
                </c:pt>
                <c:pt idx="17">
                  <c:v>888</c:v>
                </c:pt>
                <c:pt idx="18">
                  <c:v>1229</c:v>
                </c:pt>
                <c:pt idx="19">
                  <c:v>1268</c:v>
                </c:pt>
                <c:pt idx="20">
                  <c:v>1640</c:v>
                </c:pt>
                <c:pt idx="21">
                  <c:v>2185</c:v>
                </c:pt>
                <c:pt idx="22">
                  <c:v>2359</c:v>
                </c:pt>
                <c:pt idx="23">
                  <c:v>2571</c:v>
                </c:pt>
                <c:pt idx="24">
                  <c:v>3090</c:v>
                </c:pt>
                <c:pt idx="25">
                  <c:v>3601</c:v>
                </c:pt>
                <c:pt idx="26">
                  <c:v>4032</c:v>
                </c:pt>
                <c:pt idx="27">
                  <c:v>4395</c:v>
                </c:pt>
                <c:pt idx="28">
                  <c:v>4873</c:v>
                </c:pt>
                <c:pt idx="29">
                  <c:v>5278</c:v>
                </c:pt>
                <c:pt idx="30">
                  <c:v>5834</c:v>
                </c:pt>
                <c:pt idx="31">
                  <c:v>6212</c:v>
                </c:pt>
                <c:pt idx="32">
                  <c:v>6747</c:v>
                </c:pt>
                <c:pt idx="33">
                  <c:v>7128</c:v>
                </c:pt>
                <c:pt idx="34">
                  <c:v>7436</c:v>
                </c:pt>
                <c:pt idx="35">
                  <c:v>7780</c:v>
                </c:pt>
                <c:pt idx="36">
                  <c:v>8077</c:v>
                </c:pt>
                <c:pt idx="37">
                  <c:v>8470</c:v>
                </c:pt>
                <c:pt idx="38">
                  <c:v>8904</c:v>
                </c:pt>
                <c:pt idx="39">
                  <c:v>9377</c:v>
                </c:pt>
                <c:pt idx="40">
                  <c:v>9928</c:v>
                </c:pt>
                <c:pt idx="41">
                  <c:v>10329</c:v>
                </c:pt>
                <c:pt idx="42">
                  <c:v>10921</c:v>
                </c:pt>
                <c:pt idx="43">
                  <c:v>11070</c:v>
                </c:pt>
                <c:pt idx="44">
                  <c:v>11207</c:v>
                </c:pt>
                <c:pt idx="45">
                  <c:v>11412</c:v>
                </c:pt>
                <c:pt idx="46">
                  <c:v>11718</c:v>
                </c:pt>
                <c:pt idx="47">
                  <c:v>12152</c:v>
                </c:pt>
                <c:pt idx="48">
                  <c:v>12388</c:v>
                </c:pt>
                <c:pt idx="49">
                  <c:v>12686</c:v>
                </c:pt>
                <c:pt idx="50">
                  <c:v>12899</c:v>
                </c:pt>
                <c:pt idx="51">
                  <c:v>13051</c:v>
                </c:pt>
                <c:pt idx="52">
                  <c:v>13555</c:v>
                </c:pt>
                <c:pt idx="53">
                  <c:v>13670</c:v>
                </c:pt>
                <c:pt idx="54">
                  <c:v>14038</c:v>
                </c:pt>
                <c:pt idx="55">
                  <c:v>14199</c:v>
                </c:pt>
                <c:pt idx="56">
                  <c:v>14152</c:v>
                </c:pt>
                <c:pt idx="57">
                  <c:v>14260</c:v>
                </c:pt>
                <c:pt idx="58">
                  <c:v>14488</c:v>
                </c:pt>
                <c:pt idx="59">
                  <c:v>14553</c:v>
                </c:pt>
                <c:pt idx="60">
                  <c:v>14929</c:v>
                </c:pt>
                <c:pt idx="61">
                  <c:v>15181</c:v>
                </c:pt>
                <c:pt idx="62">
                  <c:v>15240</c:v>
                </c:pt>
                <c:pt idx="63">
                  <c:v>15385</c:v>
                </c:pt>
                <c:pt idx="64">
                  <c:v>15786</c:v>
                </c:pt>
                <c:pt idx="65">
                  <c:v>16256</c:v>
                </c:pt>
                <c:pt idx="66">
                  <c:v>16593</c:v>
                </c:pt>
                <c:pt idx="67">
                  <c:v>16826</c:v>
                </c:pt>
                <c:pt idx="68">
                  <c:v>17300</c:v>
                </c:pt>
                <c:pt idx="69">
                  <c:v>17816</c:v>
                </c:pt>
                <c:pt idx="70">
                  <c:v>17969</c:v>
                </c:pt>
                <c:pt idx="71">
                  <c:v>18421</c:v>
                </c:pt>
                <c:pt idx="72">
                  <c:v>18606</c:v>
                </c:pt>
                <c:pt idx="73">
                  <c:v>18666</c:v>
                </c:pt>
                <c:pt idx="74">
                  <c:v>18704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1-D941-8251-9F4F132B4071}"/>
            </c:ext>
          </c:extLst>
        </c:ser>
        <c:ser>
          <c:idx val="1"/>
          <c:order val="1"/>
          <c:tx>
            <c:strRef>
              <c:f>'By Tournament'!$A$3</c:f>
              <c:strCache>
                <c:ptCount val="1"/>
                <c:pt idx="0">
                  <c:v>Nadal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'By Tournament'!$B$1:$BX$1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'By Tournament'!$B$3:$BX$3</c:f>
              <c:numCache>
                <c:formatCode>General</c:formatCode>
                <c:ptCount val="75"/>
                <c:pt idx="0">
                  <c:v>15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148</c:v>
                </c:pt>
                <c:pt idx="5">
                  <c:v>645</c:v>
                </c:pt>
                <c:pt idx="6">
                  <c:v>637</c:v>
                </c:pt>
                <c:pt idx="7">
                  <c:v>588</c:v>
                </c:pt>
                <c:pt idx="8">
                  <c:v>1041</c:v>
                </c:pt>
                <c:pt idx="9">
                  <c:v>1308</c:v>
                </c:pt>
                <c:pt idx="10">
                  <c:v>1323</c:v>
                </c:pt>
                <c:pt idx="11">
                  <c:v>1526</c:v>
                </c:pt>
                <c:pt idx="12">
                  <c:v>2024</c:v>
                </c:pt>
                <c:pt idx="13">
                  <c:v>2490</c:v>
                </c:pt>
                <c:pt idx="14">
                  <c:v>2546</c:v>
                </c:pt>
                <c:pt idx="15">
                  <c:v>2729</c:v>
                </c:pt>
                <c:pt idx="16">
                  <c:v>3210</c:v>
                </c:pt>
                <c:pt idx="17">
                  <c:v>3662</c:v>
                </c:pt>
                <c:pt idx="18">
                  <c:v>3817</c:v>
                </c:pt>
                <c:pt idx="19">
                  <c:v>4286</c:v>
                </c:pt>
                <c:pt idx="20">
                  <c:v>4344</c:v>
                </c:pt>
                <c:pt idx="21">
                  <c:v>4657</c:v>
                </c:pt>
                <c:pt idx="22">
                  <c:v>4861</c:v>
                </c:pt>
                <c:pt idx="23">
                  <c:v>5370</c:v>
                </c:pt>
                <c:pt idx="24">
                  <c:v>5801</c:v>
                </c:pt>
                <c:pt idx="25">
                  <c:v>6331</c:v>
                </c:pt>
                <c:pt idx="26">
                  <c:v>6438</c:v>
                </c:pt>
                <c:pt idx="27">
                  <c:v>6953</c:v>
                </c:pt>
                <c:pt idx="28">
                  <c:v>7285</c:v>
                </c:pt>
                <c:pt idx="29">
                  <c:v>7547</c:v>
                </c:pt>
                <c:pt idx="30">
                  <c:v>7851</c:v>
                </c:pt>
                <c:pt idx="31">
                  <c:v>8328</c:v>
                </c:pt>
                <c:pt idx="32">
                  <c:v>8249</c:v>
                </c:pt>
                <c:pt idx="33">
                  <c:v>8801</c:v>
                </c:pt>
                <c:pt idx="34">
                  <c:v>8702</c:v>
                </c:pt>
                <c:pt idx="35">
                  <c:v>9166</c:v>
                </c:pt>
                <c:pt idx="36">
                  <c:v>9563</c:v>
                </c:pt>
                <c:pt idx="37">
                  <c:v>9995</c:v>
                </c:pt>
                <c:pt idx="38">
                  <c:v>10030</c:v>
                </c:pt>
                <c:pt idx="39">
                  <c:v>10182</c:v>
                </c:pt>
                <c:pt idx="40">
                  <c:v>10267</c:v>
                </c:pt>
                <c:pt idx="41">
                  <c:v>10226</c:v>
                </c:pt>
                <c:pt idx="42">
                  <c:v>10287</c:v>
                </c:pt>
                <c:pt idx="43">
                  <c:v>10242</c:v>
                </c:pt>
                <c:pt idx="44">
                  <c:v>10188</c:v>
                </c:pt>
                <c:pt idx="45">
                  <c:v>10231</c:v>
                </c:pt>
                <c:pt idx="46">
                  <c:v>10711</c:v>
                </c:pt>
                <c:pt idx="47">
                  <c:v>11261</c:v>
                </c:pt>
                <c:pt idx="48">
                  <c:v>11373</c:v>
                </c:pt>
                <c:pt idx="49">
                  <c:v>11671</c:v>
                </c:pt>
                <c:pt idx="50">
                  <c:v>11902</c:v>
                </c:pt>
                <c:pt idx="51">
                  <c:v>12355</c:v>
                </c:pt>
                <c:pt idx="52">
                  <c:v>12509</c:v>
                </c:pt>
                <c:pt idx="53">
                  <c:v>12766</c:v>
                </c:pt>
                <c:pt idx="54">
                  <c:v>13111</c:v>
                </c:pt>
                <c:pt idx="55">
                  <c:v>13542</c:v>
                </c:pt>
                <c:pt idx="56">
                  <c:v>13711</c:v>
                </c:pt>
                <c:pt idx="57">
                  <c:v>14128</c:v>
                </c:pt>
                <c:pt idx="58">
                  <c:v>14328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1-D941-8251-9F4F132B4071}"/>
            </c:ext>
          </c:extLst>
        </c:ser>
        <c:ser>
          <c:idx val="2"/>
          <c:order val="2"/>
          <c:tx>
            <c:strRef>
              <c:f>'By Tournament'!$A$4</c:f>
              <c:strCache>
                <c:ptCount val="1"/>
                <c:pt idx="0">
                  <c:v>Sampras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'By Tournament'!$B$1:$BX$1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'By Tournament'!$B$4:$BX$4</c:f>
              <c:numCache>
                <c:formatCode>General</c:formatCode>
                <c:ptCount val="75"/>
                <c:pt idx="0">
                  <c:v>-69</c:v>
                </c:pt>
                <c:pt idx="1">
                  <c:v>-150</c:v>
                </c:pt>
                <c:pt idx="2">
                  <c:v>-164</c:v>
                </c:pt>
                <c:pt idx="3">
                  <c:v>-263</c:v>
                </c:pt>
                <c:pt idx="4">
                  <c:v>-106</c:v>
                </c:pt>
                <c:pt idx="5">
                  <c:v>43</c:v>
                </c:pt>
                <c:pt idx="6">
                  <c:v>2</c:v>
                </c:pt>
                <c:pt idx="7">
                  <c:v>505</c:v>
                </c:pt>
                <c:pt idx="8">
                  <c:v>471</c:v>
                </c:pt>
                <c:pt idx="9">
                  <c:v>448</c:v>
                </c:pt>
                <c:pt idx="10">
                  <c:v>574</c:v>
                </c:pt>
                <c:pt idx="11">
                  <c:v>721</c:v>
                </c:pt>
                <c:pt idx="12">
                  <c:v>1012</c:v>
                </c:pt>
                <c:pt idx="13">
                  <c:v>1309</c:v>
                </c:pt>
                <c:pt idx="14">
                  <c:v>1582</c:v>
                </c:pt>
                <c:pt idx="15">
                  <c:v>1867</c:v>
                </c:pt>
                <c:pt idx="16">
                  <c:v>2247</c:v>
                </c:pt>
                <c:pt idx="17">
                  <c:v>2725</c:v>
                </c:pt>
                <c:pt idx="18">
                  <c:v>3203</c:v>
                </c:pt>
                <c:pt idx="19">
                  <c:v>3284</c:v>
                </c:pt>
                <c:pt idx="20">
                  <c:v>3799</c:v>
                </c:pt>
                <c:pt idx="21">
                  <c:v>3824</c:v>
                </c:pt>
                <c:pt idx="22">
                  <c:v>4130</c:v>
                </c:pt>
                <c:pt idx="23">
                  <c:v>4106</c:v>
                </c:pt>
                <c:pt idx="24">
                  <c:v>4419</c:v>
                </c:pt>
                <c:pt idx="25">
                  <c:v>4853</c:v>
                </c:pt>
                <c:pt idx="26">
                  <c:v>4825</c:v>
                </c:pt>
                <c:pt idx="27">
                  <c:v>5158</c:v>
                </c:pt>
                <c:pt idx="28">
                  <c:v>5382</c:v>
                </c:pt>
                <c:pt idx="29">
                  <c:v>5849</c:v>
                </c:pt>
                <c:pt idx="30">
                  <c:v>6308</c:v>
                </c:pt>
                <c:pt idx="31">
                  <c:v>6355</c:v>
                </c:pt>
                <c:pt idx="32">
                  <c:v>6752</c:v>
                </c:pt>
                <c:pt idx="33">
                  <c:v>6758</c:v>
                </c:pt>
                <c:pt idx="34">
                  <c:v>6914</c:v>
                </c:pt>
                <c:pt idx="35">
                  <c:v>6884</c:v>
                </c:pt>
                <c:pt idx="36">
                  <c:v>7348</c:v>
                </c:pt>
                <c:pt idx="37">
                  <c:v>7527</c:v>
                </c:pt>
                <c:pt idx="38">
                  <c:v>7436</c:v>
                </c:pt>
                <c:pt idx="39">
                  <c:v>7809</c:v>
                </c:pt>
                <c:pt idx="40">
                  <c:v>7931</c:v>
                </c:pt>
                <c:pt idx="41">
                  <c:v>7906</c:v>
                </c:pt>
                <c:pt idx="42">
                  <c:v>8185</c:v>
                </c:pt>
                <c:pt idx="43">
                  <c:v>8449</c:v>
                </c:pt>
                <c:pt idx="44">
                  <c:v>8499</c:v>
                </c:pt>
                <c:pt idx="45">
                  <c:v>8473</c:v>
                </c:pt>
                <c:pt idx="46">
                  <c:v>8504</c:v>
                </c:pt>
                <c:pt idx="47">
                  <c:v>8900</c:v>
                </c:pt>
                <c:pt idx="48">
                  <c:v>9046</c:v>
                </c:pt>
                <c:pt idx="49">
                  <c:v>8977</c:v>
                </c:pt>
                <c:pt idx="50">
                  <c:v>8879</c:v>
                </c:pt>
                <c:pt idx="51">
                  <c:v>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1-D941-8251-9F4F132B4071}"/>
            </c:ext>
          </c:extLst>
        </c:ser>
        <c:ser>
          <c:idx val="3"/>
          <c:order val="3"/>
          <c:tx>
            <c:strRef>
              <c:f>'By Tournament'!$A$5</c:f>
              <c:strCache>
                <c:ptCount val="1"/>
                <c:pt idx="0">
                  <c:v>Djokovic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'By Tournament'!$B$1:$BX$1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'By Tournament'!$B$5:$BX$5</c:f>
              <c:numCache>
                <c:formatCode>General</c:formatCode>
                <c:ptCount val="75"/>
                <c:pt idx="0">
                  <c:v>-4</c:v>
                </c:pt>
                <c:pt idx="1">
                  <c:v>17</c:v>
                </c:pt>
                <c:pt idx="2">
                  <c:v>59</c:v>
                </c:pt>
                <c:pt idx="3">
                  <c:v>146</c:v>
                </c:pt>
                <c:pt idx="4">
                  <c:v>78</c:v>
                </c:pt>
                <c:pt idx="5">
                  <c:v>383</c:v>
                </c:pt>
                <c:pt idx="6">
                  <c:v>559</c:v>
                </c:pt>
                <c:pt idx="7">
                  <c:v>585</c:v>
                </c:pt>
                <c:pt idx="8">
                  <c:v>663</c:v>
                </c:pt>
                <c:pt idx="9">
                  <c:v>754</c:v>
                </c:pt>
                <c:pt idx="10">
                  <c:v>1045</c:v>
                </c:pt>
                <c:pt idx="11">
                  <c:v>1428</c:v>
                </c:pt>
                <c:pt idx="12">
                  <c:v>1902</c:v>
                </c:pt>
                <c:pt idx="13">
                  <c:v>2062</c:v>
                </c:pt>
                <c:pt idx="14">
                  <c:v>1996</c:v>
                </c:pt>
                <c:pt idx="15">
                  <c:v>2283</c:v>
                </c:pt>
                <c:pt idx="16">
                  <c:v>2323</c:v>
                </c:pt>
                <c:pt idx="17">
                  <c:v>2296</c:v>
                </c:pt>
                <c:pt idx="18">
                  <c:v>2428</c:v>
                </c:pt>
                <c:pt idx="19">
                  <c:v>2665</c:v>
                </c:pt>
                <c:pt idx="20">
                  <c:v>2748</c:v>
                </c:pt>
                <c:pt idx="21">
                  <c:v>2835</c:v>
                </c:pt>
                <c:pt idx="22">
                  <c:v>3041</c:v>
                </c:pt>
                <c:pt idx="23">
                  <c:v>3434</c:v>
                </c:pt>
                <c:pt idx="24">
                  <c:v>4005</c:v>
                </c:pt>
                <c:pt idx="25">
                  <c:v>4304</c:v>
                </c:pt>
                <c:pt idx="26">
                  <c:v>4799</c:v>
                </c:pt>
                <c:pt idx="27">
                  <c:v>5290</c:v>
                </c:pt>
                <c:pt idx="28">
                  <c:v>5694</c:v>
                </c:pt>
                <c:pt idx="29">
                  <c:v>5997</c:v>
                </c:pt>
                <c:pt idx="30">
                  <c:v>6325</c:v>
                </c:pt>
                <c:pt idx="31">
                  <c:v>6724</c:v>
                </c:pt>
                <c:pt idx="32">
                  <c:v>7294</c:v>
                </c:pt>
                <c:pt idx="33">
                  <c:v>7616</c:v>
                </c:pt>
                <c:pt idx="34">
                  <c:v>8055</c:v>
                </c:pt>
                <c:pt idx="35">
                  <c:v>8329</c:v>
                </c:pt>
                <c:pt idx="36">
                  <c:v>8473</c:v>
                </c:pt>
                <c:pt idx="37">
                  <c:v>8952</c:v>
                </c:pt>
                <c:pt idx="38">
                  <c:v>9509</c:v>
                </c:pt>
                <c:pt idx="39">
                  <c:v>9772</c:v>
                </c:pt>
                <c:pt idx="40">
                  <c:v>10244</c:v>
                </c:pt>
                <c:pt idx="41">
                  <c:v>10596</c:v>
                </c:pt>
                <c:pt idx="42">
                  <c:v>11148</c:v>
                </c:pt>
                <c:pt idx="43">
                  <c:v>11678</c:v>
                </c:pt>
                <c:pt idx="44">
                  <c:v>12223</c:v>
                </c:pt>
                <c:pt idx="45">
                  <c:v>12677</c:v>
                </c:pt>
                <c:pt idx="46">
                  <c:v>12695</c:v>
                </c:pt>
                <c:pt idx="47">
                  <c:v>13010</c:v>
                </c:pt>
                <c:pt idx="48">
                  <c:v>12971</c:v>
                </c:pt>
                <c:pt idx="49">
                  <c:v>13179</c:v>
                </c:pt>
                <c:pt idx="50">
                  <c:v>13282</c:v>
                </c:pt>
                <c:pt idx="51">
                  <c:v>13401</c:v>
                </c:pt>
                <c:pt idx="52">
                  <c:v>13498</c:v>
                </c:pt>
                <c:pt idx="53">
                  <c:v>13997</c:v>
                </c:pt>
                <c:pt idx="54">
                  <c:v>14472</c:v>
                </c:pt>
                <c:pt idx="55">
                  <c:v>14946</c:v>
                </c:pt>
                <c:pt idx="56">
                  <c:v>15170</c:v>
                </c:pt>
                <c:pt idx="57">
                  <c:v>15602</c:v>
                </c:pt>
                <c:pt idx="58">
                  <c:v>15647</c:v>
                </c:pt>
                <c:pt idx="59">
                  <c:v>16133</c:v>
                </c:pt>
                <c:pt idx="60">
                  <c:v>16242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1-D941-8251-9F4F132B4071}"/>
            </c:ext>
          </c:extLst>
        </c:ser>
        <c:ser>
          <c:idx val="4"/>
          <c:order val="4"/>
          <c:tx>
            <c:strRef>
              <c:f>'By Tournament'!$A$6</c:f>
              <c:strCache>
                <c:ptCount val="1"/>
                <c:pt idx="0">
                  <c:v>Borg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'By Tournament'!$B$1:$BX$1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'By Tournament'!$B$6:$BX$6</c:f>
              <c:numCache>
                <c:formatCode>General</c:formatCode>
                <c:ptCount val="75"/>
                <c:pt idx="0">
                  <c:v>171</c:v>
                </c:pt>
                <c:pt idx="1">
                  <c:v>262</c:v>
                </c:pt>
                <c:pt idx="2">
                  <c:v>358</c:v>
                </c:pt>
                <c:pt idx="3">
                  <c:v>390</c:v>
                </c:pt>
                <c:pt idx="4">
                  <c:v>739</c:v>
                </c:pt>
                <c:pt idx="5">
                  <c:v>748</c:v>
                </c:pt>
                <c:pt idx="6">
                  <c:v>710</c:v>
                </c:pt>
                <c:pt idx="7">
                  <c:v>1138</c:v>
                </c:pt>
                <c:pt idx="8">
                  <c:v>1322</c:v>
                </c:pt>
                <c:pt idx="9">
                  <c:v>1639</c:v>
                </c:pt>
                <c:pt idx="10">
                  <c:v>1773</c:v>
                </c:pt>
                <c:pt idx="11">
                  <c:v>2239</c:v>
                </c:pt>
                <c:pt idx="12">
                  <c:v>2629</c:v>
                </c:pt>
                <c:pt idx="13">
                  <c:v>3201</c:v>
                </c:pt>
                <c:pt idx="14">
                  <c:v>3204</c:v>
                </c:pt>
                <c:pt idx="15">
                  <c:v>3688</c:v>
                </c:pt>
                <c:pt idx="16">
                  <c:v>4130</c:v>
                </c:pt>
                <c:pt idx="17">
                  <c:v>4496</c:v>
                </c:pt>
                <c:pt idx="18">
                  <c:v>4810</c:v>
                </c:pt>
                <c:pt idx="19">
                  <c:v>5349</c:v>
                </c:pt>
                <c:pt idx="20">
                  <c:v>5430</c:v>
                </c:pt>
                <c:pt idx="21">
                  <c:v>5899</c:v>
                </c:pt>
                <c:pt idx="22">
                  <c:v>6369</c:v>
                </c:pt>
                <c:pt idx="23">
                  <c:v>6801</c:v>
                </c:pt>
                <c:pt idx="24">
                  <c:v>7152</c:v>
                </c:pt>
                <c:pt idx="25">
                  <c:v>7671</c:v>
                </c:pt>
                <c:pt idx="26">
                  <c:v>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61-D941-8251-9F4F132B4071}"/>
            </c:ext>
          </c:extLst>
        </c:ser>
        <c:ser>
          <c:idx val="5"/>
          <c:order val="5"/>
          <c:tx>
            <c:strRef>
              <c:f>'By Tournament'!$A$7</c:f>
              <c:strCache>
                <c:ptCount val="1"/>
                <c:pt idx="0">
                  <c:v>Connors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'By Tournament'!$B$1:$BX$1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'By Tournament'!$B$7:$BX$7</c:f>
              <c:numCache>
                <c:formatCode>General</c:formatCode>
                <c:ptCount val="75"/>
                <c:pt idx="0">
                  <c:v>-18</c:v>
                </c:pt>
                <c:pt idx="1">
                  <c:v>-61</c:v>
                </c:pt>
                <c:pt idx="2">
                  <c:v>-101</c:v>
                </c:pt>
                <c:pt idx="3">
                  <c:v>161</c:v>
                </c:pt>
                <c:pt idx="4">
                  <c:v>146</c:v>
                </c:pt>
                <c:pt idx="5">
                  <c:v>96</c:v>
                </c:pt>
                <c:pt idx="6">
                  <c:v>106</c:v>
                </c:pt>
                <c:pt idx="7">
                  <c:v>312</c:v>
                </c:pt>
                <c:pt idx="8">
                  <c:v>566</c:v>
                </c:pt>
                <c:pt idx="9">
                  <c:v>1129</c:v>
                </c:pt>
                <c:pt idx="10">
                  <c:v>1686</c:v>
                </c:pt>
                <c:pt idx="11">
                  <c:v>1833</c:v>
                </c:pt>
                <c:pt idx="12">
                  <c:v>2249</c:v>
                </c:pt>
                <c:pt idx="13">
                  <c:v>2638</c:v>
                </c:pt>
                <c:pt idx="14">
                  <c:v>2729</c:v>
                </c:pt>
                <c:pt idx="15">
                  <c:v>3177</c:v>
                </c:pt>
                <c:pt idx="16">
                  <c:v>3497</c:v>
                </c:pt>
                <c:pt idx="17">
                  <c:v>3860</c:v>
                </c:pt>
                <c:pt idx="18">
                  <c:v>4295</c:v>
                </c:pt>
                <c:pt idx="19">
                  <c:v>4787</c:v>
                </c:pt>
                <c:pt idx="20">
                  <c:v>5065</c:v>
                </c:pt>
                <c:pt idx="21">
                  <c:v>5321</c:v>
                </c:pt>
                <c:pt idx="22">
                  <c:v>5593</c:v>
                </c:pt>
                <c:pt idx="23">
                  <c:v>5838</c:v>
                </c:pt>
                <c:pt idx="24">
                  <c:v>6095</c:v>
                </c:pt>
                <c:pt idx="25">
                  <c:v>6344</c:v>
                </c:pt>
                <c:pt idx="26">
                  <c:v>6474</c:v>
                </c:pt>
                <c:pt idx="27">
                  <c:v>6725</c:v>
                </c:pt>
                <c:pt idx="28">
                  <c:v>6894</c:v>
                </c:pt>
                <c:pt idx="29">
                  <c:v>7065</c:v>
                </c:pt>
                <c:pt idx="30">
                  <c:v>7531</c:v>
                </c:pt>
                <c:pt idx="31">
                  <c:v>7981</c:v>
                </c:pt>
                <c:pt idx="32">
                  <c:v>8136</c:v>
                </c:pt>
                <c:pt idx="33">
                  <c:v>8221</c:v>
                </c:pt>
                <c:pt idx="34">
                  <c:v>8697</c:v>
                </c:pt>
                <c:pt idx="35">
                  <c:v>8877</c:v>
                </c:pt>
                <c:pt idx="36">
                  <c:v>9113</c:v>
                </c:pt>
                <c:pt idx="37">
                  <c:v>9393</c:v>
                </c:pt>
                <c:pt idx="38">
                  <c:v>9616</c:v>
                </c:pt>
                <c:pt idx="39">
                  <c:v>9765</c:v>
                </c:pt>
                <c:pt idx="40">
                  <c:v>9991</c:v>
                </c:pt>
                <c:pt idx="41">
                  <c:v>9964</c:v>
                </c:pt>
                <c:pt idx="42">
                  <c:v>9894</c:v>
                </c:pt>
                <c:pt idx="43">
                  <c:v>9906</c:v>
                </c:pt>
                <c:pt idx="44">
                  <c:v>10110</c:v>
                </c:pt>
                <c:pt idx="45">
                  <c:v>10347</c:v>
                </c:pt>
                <c:pt idx="46">
                  <c:v>10273</c:v>
                </c:pt>
                <c:pt idx="47">
                  <c:v>10314</c:v>
                </c:pt>
                <c:pt idx="48">
                  <c:v>10324</c:v>
                </c:pt>
                <c:pt idx="49">
                  <c:v>10315</c:v>
                </c:pt>
                <c:pt idx="50">
                  <c:v>10488</c:v>
                </c:pt>
                <c:pt idx="51">
                  <c:v>10583</c:v>
                </c:pt>
                <c:pt idx="52">
                  <c:v>10642</c:v>
                </c:pt>
                <c:pt idx="53">
                  <c:v>10922</c:v>
                </c:pt>
                <c:pt idx="54">
                  <c:v>10918</c:v>
                </c:pt>
                <c:pt idx="55">
                  <c:v>10832</c:v>
                </c:pt>
                <c:pt idx="56">
                  <c:v>10870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61-D941-8251-9F4F132B4071}"/>
            </c:ext>
          </c:extLst>
        </c:ser>
        <c:ser>
          <c:idx val="6"/>
          <c:order val="6"/>
          <c:tx>
            <c:strRef>
              <c:f>'By Tournament'!$A$8</c:f>
              <c:strCache>
                <c:ptCount val="1"/>
                <c:pt idx="0">
                  <c:v>Lendl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Tournament'!$B$1:$BX$1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'By Tournament'!$B$8:$BX$8</c:f>
              <c:numCache>
                <c:formatCode>General</c:formatCode>
                <c:ptCount val="75"/>
                <c:pt idx="0">
                  <c:v>-99</c:v>
                </c:pt>
                <c:pt idx="1">
                  <c:v>26</c:v>
                </c:pt>
                <c:pt idx="2">
                  <c:v>-20</c:v>
                </c:pt>
                <c:pt idx="3">
                  <c:v>32</c:v>
                </c:pt>
                <c:pt idx="4">
                  <c:v>74</c:v>
                </c:pt>
                <c:pt idx="5">
                  <c:v>97</c:v>
                </c:pt>
                <c:pt idx="6">
                  <c:v>141</c:v>
                </c:pt>
                <c:pt idx="7">
                  <c:v>245</c:v>
                </c:pt>
                <c:pt idx="8">
                  <c:v>664</c:v>
                </c:pt>
                <c:pt idx="9">
                  <c:v>565</c:v>
                </c:pt>
                <c:pt idx="10">
                  <c:v>578</c:v>
                </c:pt>
                <c:pt idx="11">
                  <c:v>616</c:v>
                </c:pt>
                <c:pt idx="12">
                  <c:v>1000</c:v>
                </c:pt>
                <c:pt idx="13">
                  <c:v>1341</c:v>
                </c:pt>
                <c:pt idx="14">
                  <c:v>1479</c:v>
                </c:pt>
                <c:pt idx="15">
                  <c:v>1584</c:v>
                </c:pt>
                <c:pt idx="16">
                  <c:v>1981</c:v>
                </c:pt>
                <c:pt idx="17">
                  <c:v>2107</c:v>
                </c:pt>
                <c:pt idx="18">
                  <c:v>2621</c:v>
                </c:pt>
                <c:pt idx="19">
                  <c:v>2820</c:v>
                </c:pt>
                <c:pt idx="20">
                  <c:v>3198</c:v>
                </c:pt>
                <c:pt idx="21">
                  <c:v>3331</c:v>
                </c:pt>
                <c:pt idx="22">
                  <c:v>3665</c:v>
                </c:pt>
                <c:pt idx="23">
                  <c:v>3734</c:v>
                </c:pt>
                <c:pt idx="24">
                  <c:v>4135</c:v>
                </c:pt>
                <c:pt idx="25">
                  <c:v>4533</c:v>
                </c:pt>
                <c:pt idx="26">
                  <c:v>4848</c:v>
                </c:pt>
                <c:pt idx="27">
                  <c:v>5384</c:v>
                </c:pt>
                <c:pt idx="28">
                  <c:v>5525</c:v>
                </c:pt>
                <c:pt idx="29">
                  <c:v>6068</c:v>
                </c:pt>
                <c:pt idx="30">
                  <c:v>6395</c:v>
                </c:pt>
                <c:pt idx="31">
                  <c:v>6868</c:v>
                </c:pt>
                <c:pt idx="32">
                  <c:v>7019</c:v>
                </c:pt>
                <c:pt idx="33">
                  <c:v>7136</c:v>
                </c:pt>
                <c:pt idx="34">
                  <c:v>7397</c:v>
                </c:pt>
                <c:pt idx="35">
                  <c:v>7786</c:v>
                </c:pt>
                <c:pt idx="36">
                  <c:v>8230</c:v>
                </c:pt>
                <c:pt idx="37">
                  <c:v>8396</c:v>
                </c:pt>
                <c:pt idx="38">
                  <c:v>8506</c:v>
                </c:pt>
                <c:pt idx="39">
                  <c:v>8938</c:v>
                </c:pt>
                <c:pt idx="40">
                  <c:v>9303</c:v>
                </c:pt>
                <c:pt idx="41">
                  <c:v>9425</c:v>
                </c:pt>
                <c:pt idx="42">
                  <c:v>9513</c:v>
                </c:pt>
                <c:pt idx="43">
                  <c:v>9884</c:v>
                </c:pt>
                <c:pt idx="44">
                  <c:v>9897</c:v>
                </c:pt>
                <c:pt idx="45">
                  <c:v>10233</c:v>
                </c:pt>
                <c:pt idx="46">
                  <c:v>10367</c:v>
                </c:pt>
                <c:pt idx="47">
                  <c:v>10374</c:v>
                </c:pt>
                <c:pt idx="48">
                  <c:v>10374</c:v>
                </c:pt>
                <c:pt idx="49">
                  <c:v>10584</c:v>
                </c:pt>
                <c:pt idx="50">
                  <c:v>10522</c:v>
                </c:pt>
                <c:pt idx="51">
                  <c:v>10423</c:v>
                </c:pt>
                <c:pt idx="52">
                  <c:v>10400</c:v>
                </c:pt>
                <c:pt idx="53">
                  <c:v>10301</c:v>
                </c:pt>
                <c:pt idx="54">
                  <c:v>10480</c:v>
                </c:pt>
                <c:pt idx="55">
                  <c:v>10463</c:v>
                </c:pt>
                <c:pt idx="56">
                  <c:v>10423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61-D941-8251-9F4F132B4071}"/>
            </c:ext>
          </c:extLst>
        </c:ser>
        <c:ser>
          <c:idx val="7"/>
          <c:order val="7"/>
          <c:tx>
            <c:strRef>
              <c:f>'By Tournament'!$A$9</c:f>
              <c:strCache>
                <c:ptCount val="1"/>
                <c:pt idx="0">
                  <c:v>Agassi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Tournament'!$B$1:$BX$1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'By Tournament'!$B$9:$BX$9</c:f>
              <c:numCache>
                <c:formatCode>General</c:formatCode>
                <c:ptCount val="75"/>
                <c:pt idx="0">
                  <c:v>-99</c:v>
                </c:pt>
                <c:pt idx="1">
                  <c:v>-190</c:v>
                </c:pt>
                <c:pt idx="2">
                  <c:v>-199</c:v>
                </c:pt>
                <c:pt idx="3">
                  <c:v>-210</c:v>
                </c:pt>
                <c:pt idx="4">
                  <c:v>-30</c:v>
                </c:pt>
                <c:pt idx="5">
                  <c:v>170</c:v>
                </c:pt>
                <c:pt idx="6">
                  <c:v>182</c:v>
                </c:pt>
                <c:pt idx="7">
                  <c:v>292</c:v>
                </c:pt>
                <c:pt idx="8">
                  <c:v>573</c:v>
                </c:pt>
                <c:pt idx="9">
                  <c:v>952</c:v>
                </c:pt>
                <c:pt idx="10">
                  <c:v>1306</c:v>
                </c:pt>
                <c:pt idx="11">
                  <c:v>1453</c:v>
                </c:pt>
                <c:pt idx="12">
                  <c:v>1406</c:v>
                </c:pt>
                <c:pt idx="13">
                  <c:v>1715</c:v>
                </c:pt>
                <c:pt idx="14">
                  <c:v>2173</c:v>
                </c:pt>
                <c:pt idx="15">
                  <c:v>2359</c:v>
                </c:pt>
                <c:pt idx="16">
                  <c:v>2526</c:v>
                </c:pt>
                <c:pt idx="17">
                  <c:v>2465</c:v>
                </c:pt>
                <c:pt idx="18">
                  <c:v>2455</c:v>
                </c:pt>
                <c:pt idx="19">
                  <c:v>2587</c:v>
                </c:pt>
                <c:pt idx="20">
                  <c:v>3095</c:v>
                </c:pt>
                <c:pt idx="21">
                  <c:v>3471</c:v>
                </c:pt>
                <c:pt idx="22">
                  <c:v>3600</c:v>
                </c:pt>
                <c:pt idx="23">
                  <c:v>3805</c:v>
                </c:pt>
                <c:pt idx="24">
                  <c:v>4165</c:v>
                </c:pt>
                <c:pt idx="25">
                  <c:v>4346</c:v>
                </c:pt>
                <c:pt idx="26">
                  <c:v>4275</c:v>
                </c:pt>
                <c:pt idx="27">
                  <c:v>4176</c:v>
                </c:pt>
                <c:pt idx="28">
                  <c:v>4365</c:v>
                </c:pt>
                <c:pt idx="29">
                  <c:v>4411</c:v>
                </c:pt>
                <c:pt idx="30">
                  <c:v>4510</c:v>
                </c:pt>
                <c:pt idx="31">
                  <c:v>4411</c:v>
                </c:pt>
                <c:pt idx="32">
                  <c:v>4384</c:v>
                </c:pt>
                <c:pt idx="33">
                  <c:v>4505</c:v>
                </c:pt>
                <c:pt idx="34">
                  <c:v>4529</c:v>
                </c:pt>
                <c:pt idx="35">
                  <c:v>4829</c:v>
                </c:pt>
                <c:pt idx="36">
                  <c:v>5160</c:v>
                </c:pt>
                <c:pt idx="37">
                  <c:v>5464</c:v>
                </c:pt>
                <c:pt idx="38">
                  <c:v>5973</c:v>
                </c:pt>
                <c:pt idx="39">
                  <c:v>5934</c:v>
                </c:pt>
                <c:pt idx="40">
                  <c:v>6144</c:v>
                </c:pt>
                <c:pt idx="41">
                  <c:v>6108</c:v>
                </c:pt>
                <c:pt idx="42">
                  <c:v>6531</c:v>
                </c:pt>
                <c:pt idx="43">
                  <c:v>6723</c:v>
                </c:pt>
                <c:pt idx="44">
                  <c:v>6916</c:v>
                </c:pt>
                <c:pt idx="45">
                  <c:v>7019</c:v>
                </c:pt>
                <c:pt idx="46">
                  <c:v>7131</c:v>
                </c:pt>
                <c:pt idx="47">
                  <c:v>7065</c:v>
                </c:pt>
                <c:pt idx="48">
                  <c:v>7291</c:v>
                </c:pt>
                <c:pt idx="49">
                  <c:v>7729</c:v>
                </c:pt>
                <c:pt idx="50">
                  <c:v>7881</c:v>
                </c:pt>
                <c:pt idx="51">
                  <c:v>7919</c:v>
                </c:pt>
                <c:pt idx="52">
                  <c:v>8140</c:v>
                </c:pt>
                <c:pt idx="53">
                  <c:v>8258</c:v>
                </c:pt>
                <c:pt idx="54">
                  <c:v>8159</c:v>
                </c:pt>
                <c:pt idx="55">
                  <c:v>8405</c:v>
                </c:pt>
                <c:pt idx="56">
                  <c:v>8637</c:v>
                </c:pt>
                <c:pt idx="57">
                  <c:v>8542</c:v>
                </c:pt>
                <c:pt idx="58">
                  <c:v>8814</c:v>
                </c:pt>
                <c:pt idx="59">
                  <c:v>8873</c:v>
                </c:pt>
                <c:pt idx="60">
                  <c:v>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61-D941-8251-9F4F132B4071}"/>
            </c:ext>
          </c:extLst>
        </c:ser>
        <c:ser>
          <c:idx val="8"/>
          <c:order val="8"/>
          <c:tx>
            <c:strRef>
              <c:f>'By Tournament'!$A$10</c:f>
              <c:strCache>
                <c:ptCount val="1"/>
                <c:pt idx="0">
                  <c:v>McEnroe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Tournament'!$B$1:$BX$1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'By Tournament'!$B$10:$BX$10</c:f>
              <c:numCache>
                <c:formatCode>General</c:formatCode>
                <c:ptCount val="75"/>
                <c:pt idx="0">
                  <c:v>-22</c:v>
                </c:pt>
                <c:pt idx="1">
                  <c:v>230</c:v>
                </c:pt>
                <c:pt idx="2">
                  <c:v>369</c:v>
                </c:pt>
                <c:pt idx="3">
                  <c:v>270</c:v>
                </c:pt>
                <c:pt idx="4">
                  <c:v>528</c:v>
                </c:pt>
                <c:pt idx="5">
                  <c:v>659</c:v>
                </c:pt>
                <c:pt idx="6">
                  <c:v>1139</c:v>
                </c:pt>
                <c:pt idx="7">
                  <c:v>1139</c:v>
                </c:pt>
                <c:pt idx="8">
                  <c:v>1415</c:v>
                </c:pt>
                <c:pt idx="9">
                  <c:v>1854</c:v>
                </c:pt>
                <c:pt idx="10">
                  <c:v>2002</c:v>
                </c:pt>
                <c:pt idx="11">
                  <c:v>2542</c:v>
                </c:pt>
                <c:pt idx="12">
                  <c:v>2976</c:v>
                </c:pt>
                <c:pt idx="13">
                  <c:v>3326</c:v>
                </c:pt>
                <c:pt idx="14">
                  <c:v>3554</c:v>
                </c:pt>
                <c:pt idx="15">
                  <c:v>3685</c:v>
                </c:pt>
                <c:pt idx="16">
                  <c:v>3803</c:v>
                </c:pt>
                <c:pt idx="17">
                  <c:v>4162</c:v>
                </c:pt>
                <c:pt idx="18">
                  <c:v>4178</c:v>
                </c:pt>
                <c:pt idx="19">
                  <c:v>4603</c:v>
                </c:pt>
                <c:pt idx="20">
                  <c:v>5057</c:v>
                </c:pt>
                <c:pt idx="21">
                  <c:v>5481</c:v>
                </c:pt>
                <c:pt idx="22">
                  <c:v>5546</c:v>
                </c:pt>
                <c:pt idx="23">
                  <c:v>5746</c:v>
                </c:pt>
                <c:pt idx="24">
                  <c:v>5752</c:v>
                </c:pt>
                <c:pt idx="25">
                  <c:v>6089</c:v>
                </c:pt>
                <c:pt idx="26">
                  <c:v>6069</c:v>
                </c:pt>
                <c:pt idx="27">
                  <c:v>6020</c:v>
                </c:pt>
                <c:pt idx="28">
                  <c:v>6227</c:v>
                </c:pt>
                <c:pt idx="29">
                  <c:v>6264</c:v>
                </c:pt>
                <c:pt idx="30">
                  <c:v>6227</c:v>
                </c:pt>
                <c:pt idx="31">
                  <c:v>6192</c:v>
                </c:pt>
                <c:pt idx="32">
                  <c:v>6330</c:v>
                </c:pt>
                <c:pt idx="33">
                  <c:v>6601</c:v>
                </c:pt>
                <c:pt idx="34">
                  <c:v>6503</c:v>
                </c:pt>
                <c:pt idx="35">
                  <c:v>6509</c:v>
                </c:pt>
                <c:pt idx="36">
                  <c:v>6410</c:v>
                </c:pt>
                <c:pt idx="37">
                  <c:v>6705</c:v>
                </c:pt>
                <c:pt idx="38">
                  <c:v>6688</c:v>
                </c:pt>
                <c:pt idx="39">
                  <c:v>6725</c:v>
                </c:pt>
                <c:pt idx="40">
                  <c:v>6705</c:v>
                </c:pt>
                <c:pt idx="41">
                  <c:v>6933</c:v>
                </c:pt>
                <c:pt idx="42">
                  <c:v>6839</c:v>
                </c:pt>
                <c:pt idx="43">
                  <c:v>7048</c:v>
                </c:pt>
                <c:pt idx="44">
                  <c:v>7077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61-D941-8251-9F4F132B4071}"/>
            </c:ext>
          </c:extLst>
        </c:ser>
        <c:ser>
          <c:idx val="9"/>
          <c:order val="9"/>
          <c:tx>
            <c:strRef>
              <c:f>'By Tournament'!$A$11</c:f>
              <c:strCache>
                <c:ptCount val="1"/>
                <c:pt idx="0">
                  <c:v>Wilander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Tournament'!$B$1:$BX$1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'By Tournament'!$B$11:$BX$11</c:f>
              <c:numCache>
                <c:formatCode>General</c:formatCode>
                <c:ptCount val="75"/>
                <c:pt idx="0">
                  <c:v>-99</c:v>
                </c:pt>
                <c:pt idx="1">
                  <c:v>-98</c:v>
                </c:pt>
                <c:pt idx="2">
                  <c:v>410</c:v>
                </c:pt>
                <c:pt idx="3">
                  <c:v>521</c:v>
                </c:pt>
                <c:pt idx="4">
                  <c:v>636</c:v>
                </c:pt>
                <c:pt idx="5">
                  <c:v>1140</c:v>
                </c:pt>
                <c:pt idx="6">
                  <c:v>1495</c:v>
                </c:pt>
                <c:pt idx="7">
                  <c:v>1501</c:v>
                </c:pt>
                <c:pt idx="8">
                  <c:v>1680</c:v>
                </c:pt>
                <c:pt idx="9">
                  <c:v>2016</c:v>
                </c:pt>
                <c:pt idx="10">
                  <c:v>2285</c:v>
                </c:pt>
                <c:pt idx="11">
                  <c:v>2253</c:v>
                </c:pt>
                <c:pt idx="12">
                  <c:v>2407</c:v>
                </c:pt>
                <c:pt idx="13">
                  <c:v>2650</c:v>
                </c:pt>
                <c:pt idx="14">
                  <c:v>3146</c:v>
                </c:pt>
                <c:pt idx="15">
                  <c:v>3069</c:v>
                </c:pt>
                <c:pt idx="16">
                  <c:v>3373</c:v>
                </c:pt>
                <c:pt idx="17">
                  <c:v>3393</c:v>
                </c:pt>
                <c:pt idx="18">
                  <c:v>3347</c:v>
                </c:pt>
                <c:pt idx="19">
                  <c:v>3420</c:v>
                </c:pt>
                <c:pt idx="20">
                  <c:v>3824</c:v>
                </c:pt>
                <c:pt idx="21">
                  <c:v>4044</c:v>
                </c:pt>
                <c:pt idx="22">
                  <c:v>4270</c:v>
                </c:pt>
                <c:pt idx="23">
                  <c:v>4690</c:v>
                </c:pt>
                <c:pt idx="24">
                  <c:v>5155</c:v>
                </c:pt>
                <c:pt idx="25">
                  <c:v>5276</c:v>
                </c:pt>
                <c:pt idx="26">
                  <c:v>5780</c:v>
                </c:pt>
                <c:pt idx="27">
                  <c:v>5730</c:v>
                </c:pt>
                <c:pt idx="28">
                  <c:v>5783</c:v>
                </c:pt>
                <c:pt idx="29">
                  <c:v>5910</c:v>
                </c:pt>
                <c:pt idx="30">
                  <c:v>5890</c:v>
                </c:pt>
                <c:pt idx="31">
                  <c:v>6083</c:v>
                </c:pt>
                <c:pt idx="32">
                  <c:v>6075</c:v>
                </c:pt>
                <c:pt idx="33">
                  <c:v>6084</c:v>
                </c:pt>
                <c:pt idx="34">
                  <c:v>6035</c:v>
                </c:pt>
                <c:pt idx="35">
                  <c:v>6113</c:v>
                </c:pt>
                <c:pt idx="36">
                  <c:v>6090</c:v>
                </c:pt>
                <c:pt idx="37">
                  <c:v>6071</c:v>
                </c:pt>
                <c:pt idx="38">
                  <c:v>5972</c:v>
                </c:pt>
                <c:pt idx="39">
                  <c:v>5948</c:v>
                </c:pt>
                <c:pt idx="40">
                  <c:v>5943</c:v>
                </c:pt>
                <c:pt idx="41">
                  <c:v>5948</c:v>
                </c:pt>
                <c:pt idx="42">
                  <c:v>5934</c:v>
                </c:pt>
                <c:pt idx="43">
                  <c:v>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61-D941-8251-9F4F132B4071}"/>
            </c:ext>
          </c:extLst>
        </c:ser>
        <c:ser>
          <c:idx val="10"/>
          <c:order val="10"/>
          <c:tx>
            <c:strRef>
              <c:f>'By Tournament'!$A$12</c:f>
              <c:strCache>
                <c:ptCount val="1"/>
                <c:pt idx="0">
                  <c:v>Edberg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Tournament'!$B$1:$BX$1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'By Tournament'!$B$12:$BX$12</c:f>
              <c:numCache>
                <c:formatCode>General</c:formatCode>
                <c:ptCount val="75"/>
                <c:pt idx="0">
                  <c:v>-97</c:v>
                </c:pt>
                <c:pt idx="1">
                  <c:v>-46</c:v>
                </c:pt>
                <c:pt idx="2">
                  <c:v>-143</c:v>
                </c:pt>
                <c:pt idx="3">
                  <c:v>-96</c:v>
                </c:pt>
                <c:pt idx="4">
                  <c:v>-49</c:v>
                </c:pt>
                <c:pt idx="5">
                  <c:v>-17</c:v>
                </c:pt>
                <c:pt idx="6">
                  <c:v>-17</c:v>
                </c:pt>
                <c:pt idx="7">
                  <c:v>359</c:v>
                </c:pt>
                <c:pt idx="8">
                  <c:v>524</c:v>
                </c:pt>
                <c:pt idx="9">
                  <c:v>586</c:v>
                </c:pt>
                <c:pt idx="10">
                  <c:v>775</c:v>
                </c:pt>
                <c:pt idx="11">
                  <c:v>749</c:v>
                </c:pt>
                <c:pt idx="12">
                  <c:v>800</c:v>
                </c:pt>
                <c:pt idx="13">
                  <c:v>1026</c:v>
                </c:pt>
                <c:pt idx="14">
                  <c:v>1378</c:v>
                </c:pt>
                <c:pt idx="15">
                  <c:v>1280</c:v>
                </c:pt>
                <c:pt idx="16">
                  <c:v>1510</c:v>
                </c:pt>
                <c:pt idx="17">
                  <c:v>1790</c:v>
                </c:pt>
                <c:pt idx="18">
                  <c:v>1925</c:v>
                </c:pt>
                <c:pt idx="19">
                  <c:v>1973</c:v>
                </c:pt>
                <c:pt idx="20">
                  <c:v>2322</c:v>
                </c:pt>
                <c:pt idx="21">
                  <c:v>2358</c:v>
                </c:pt>
                <c:pt idx="22">
                  <c:v>2506</c:v>
                </c:pt>
                <c:pt idx="23">
                  <c:v>2765</c:v>
                </c:pt>
                <c:pt idx="24">
                  <c:v>3080</c:v>
                </c:pt>
                <c:pt idx="25">
                  <c:v>3122</c:v>
                </c:pt>
                <c:pt idx="26">
                  <c:v>3408</c:v>
                </c:pt>
                <c:pt idx="27">
                  <c:v>3362</c:v>
                </c:pt>
                <c:pt idx="28">
                  <c:v>3797</c:v>
                </c:pt>
                <c:pt idx="29">
                  <c:v>3745</c:v>
                </c:pt>
                <c:pt idx="30">
                  <c:v>3887</c:v>
                </c:pt>
                <c:pt idx="31">
                  <c:v>4117</c:v>
                </c:pt>
                <c:pt idx="32">
                  <c:v>4293</c:v>
                </c:pt>
                <c:pt idx="33">
                  <c:v>4666</c:v>
                </c:pt>
                <c:pt idx="34">
                  <c:v>4913</c:v>
                </c:pt>
                <c:pt idx="35">
                  <c:v>4932</c:v>
                </c:pt>
                <c:pt idx="36">
                  <c:v>4938</c:v>
                </c:pt>
                <c:pt idx="37">
                  <c:v>5484</c:v>
                </c:pt>
                <c:pt idx="38">
                  <c:v>5806</c:v>
                </c:pt>
                <c:pt idx="39">
                  <c:v>5933</c:v>
                </c:pt>
                <c:pt idx="40">
                  <c:v>6102</c:v>
                </c:pt>
                <c:pt idx="41">
                  <c:v>6085</c:v>
                </c:pt>
                <c:pt idx="42">
                  <c:v>6333</c:v>
                </c:pt>
                <c:pt idx="43">
                  <c:v>6296</c:v>
                </c:pt>
                <c:pt idx="44">
                  <c:v>6198</c:v>
                </c:pt>
                <c:pt idx="45">
                  <c:v>6145</c:v>
                </c:pt>
                <c:pt idx="46">
                  <c:v>6141</c:v>
                </c:pt>
                <c:pt idx="47">
                  <c:v>6195</c:v>
                </c:pt>
                <c:pt idx="48">
                  <c:v>6109</c:v>
                </c:pt>
                <c:pt idx="49">
                  <c:v>6147</c:v>
                </c:pt>
                <c:pt idx="50">
                  <c:v>6112</c:v>
                </c:pt>
                <c:pt idx="51">
                  <c:v>6321</c:v>
                </c:pt>
                <c:pt idx="52">
                  <c:v>6312</c:v>
                </c:pt>
                <c:pt idx="53">
                  <c:v>6568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61-D941-8251-9F4F132B4071}"/>
            </c:ext>
          </c:extLst>
        </c:ser>
        <c:ser>
          <c:idx val="11"/>
          <c:order val="11"/>
          <c:tx>
            <c:strRef>
              <c:f>'By Tournament'!$A$13</c:f>
              <c:strCache>
                <c:ptCount val="1"/>
                <c:pt idx="0">
                  <c:v>Becker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Tournament'!$B$1:$BX$1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'By Tournament'!$B$13:$BX$13</c:f>
              <c:numCache>
                <c:formatCode>General</c:formatCode>
                <c:ptCount val="75"/>
                <c:pt idx="0">
                  <c:v>168</c:v>
                </c:pt>
                <c:pt idx="1">
                  <c:v>203</c:v>
                </c:pt>
                <c:pt idx="2">
                  <c:v>105</c:v>
                </c:pt>
                <c:pt idx="3">
                  <c:v>178</c:v>
                </c:pt>
                <c:pt idx="4">
                  <c:v>705</c:v>
                </c:pt>
                <c:pt idx="5">
                  <c:v>700</c:v>
                </c:pt>
                <c:pt idx="6">
                  <c:v>853</c:v>
                </c:pt>
                <c:pt idx="7">
                  <c:v>1369</c:v>
                </c:pt>
                <c:pt idx="8">
                  <c:v>1485</c:v>
                </c:pt>
                <c:pt idx="9">
                  <c:v>1513</c:v>
                </c:pt>
                <c:pt idx="10">
                  <c:v>1740</c:v>
                </c:pt>
                <c:pt idx="11">
                  <c:v>1740</c:v>
                </c:pt>
                <c:pt idx="12">
                  <c:v>1778</c:v>
                </c:pt>
                <c:pt idx="13">
                  <c:v>1914</c:v>
                </c:pt>
                <c:pt idx="14">
                  <c:v>2261</c:v>
                </c:pt>
                <c:pt idx="15">
                  <c:v>2243</c:v>
                </c:pt>
                <c:pt idx="16">
                  <c:v>2239</c:v>
                </c:pt>
                <c:pt idx="17">
                  <c:v>2439</c:v>
                </c:pt>
                <c:pt idx="18">
                  <c:v>2868</c:v>
                </c:pt>
                <c:pt idx="19">
                  <c:v>3369</c:v>
                </c:pt>
                <c:pt idx="20">
                  <c:v>3543</c:v>
                </c:pt>
                <c:pt idx="21">
                  <c:v>3492</c:v>
                </c:pt>
                <c:pt idx="22">
                  <c:v>3787</c:v>
                </c:pt>
                <c:pt idx="23">
                  <c:v>4108</c:v>
                </c:pt>
                <c:pt idx="24">
                  <c:v>4425</c:v>
                </c:pt>
                <c:pt idx="25">
                  <c:v>4740</c:v>
                </c:pt>
                <c:pt idx="26">
                  <c:v>5069</c:v>
                </c:pt>
                <c:pt idx="27">
                  <c:v>5164</c:v>
                </c:pt>
                <c:pt idx="28">
                  <c:v>5168</c:v>
                </c:pt>
                <c:pt idx="29">
                  <c:v>5347</c:v>
                </c:pt>
                <c:pt idx="30">
                  <c:v>5431</c:v>
                </c:pt>
                <c:pt idx="31">
                  <c:v>5332</c:v>
                </c:pt>
                <c:pt idx="32">
                  <c:v>5237</c:v>
                </c:pt>
                <c:pt idx="33">
                  <c:v>5572</c:v>
                </c:pt>
                <c:pt idx="34">
                  <c:v>5620</c:v>
                </c:pt>
                <c:pt idx="35">
                  <c:v>5749</c:v>
                </c:pt>
                <c:pt idx="36">
                  <c:v>5701</c:v>
                </c:pt>
                <c:pt idx="37">
                  <c:v>5636</c:v>
                </c:pt>
                <c:pt idx="38">
                  <c:v>5620</c:v>
                </c:pt>
                <c:pt idx="39">
                  <c:v>5842</c:v>
                </c:pt>
                <c:pt idx="40">
                  <c:v>6009</c:v>
                </c:pt>
                <c:pt idx="41">
                  <c:v>6493</c:v>
                </c:pt>
                <c:pt idx="42">
                  <c:v>6446</c:v>
                </c:pt>
                <c:pt idx="43">
                  <c:v>6421</c:v>
                </c:pt>
                <c:pt idx="44">
                  <c:v>6591</c:v>
                </c:pt>
                <c:pt idx="45">
                  <c:v>6740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B61-D941-8251-9F4F132B4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6538368"/>
        <c:axId val="-1456537008"/>
      </c:lineChart>
      <c:catAx>
        <c:axId val="-145653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537008"/>
        <c:crosses val="autoZero"/>
        <c:auto val="1"/>
        <c:lblAlgn val="ctr"/>
        <c:lblOffset val="100"/>
        <c:noMultiLvlLbl val="0"/>
      </c:catAx>
      <c:valAx>
        <c:axId val="-14565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53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Age'!$A$2</c:f>
              <c:strCache>
                <c:ptCount val="1"/>
                <c:pt idx="0">
                  <c:v>Federer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'By Age'!$B$1:$AA$1</c:f>
              <c:numCache>
                <c:formatCode>General</c:formatCode>
                <c:ptCount val="2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</c:numCache>
            </c:numRef>
          </c:cat>
          <c:val>
            <c:numRef>
              <c:f>'By Age'!$B$2:$AA$2</c:f>
              <c:numCache>
                <c:formatCode>General</c:formatCode>
                <c:ptCount val="25"/>
                <c:pt idx="2">
                  <c:v>-61</c:v>
                </c:pt>
                <c:pt idx="3">
                  <c:v>-44</c:v>
                </c:pt>
                <c:pt idx="4">
                  <c:v>422</c:v>
                </c:pt>
                <c:pt idx="5">
                  <c:v>394</c:v>
                </c:pt>
                <c:pt idx="6">
                  <c:v>888</c:v>
                </c:pt>
                <c:pt idx="7">
                  <c:v>2185</c:v>
                </c:pt>
                <c:pt idx="8">
                  <c:v>3601</c:v>
                </c:pt>
                <c:pt idx="9">
                  <c:v>5278</c:v>
                </c:pt>
                <c:pt idx="10">
                  <c:v>7128</c:v>
                </c:pt>
                <c:pt idx="11">
                  <c:v>8470</c:v>
                </c:pt>
                <c:pt idx="12">
                  <c:v>10329</c:v>
                </c:pt>
                <c:pt idx="13">
                  <c:v>11412</c:v>
                </c:pt>
                <c:pt idx="14">
                  <c:v>12686</c:v>
                </c:pt>
                <c:pt idx="15">
                  <c:v>13670</c:v>
                </c:pt>
                <c:pt idx="16">
                  <c:v>14260</c:v>
                </c:pt>
                <c:pt idx="17">
                  <c:v>15181</c:v>
                </c:pt>
                <c:pt idx="18">
                  <c:v>16256</c:v>
                </c:pt>
                <c:pt idx="19">
                  <c:v>16826</c:v>
                </c:pt>
                <c:pt idx="20">
                  <c:v>17969</c:v>
                </c:pt>
                <c:pt idx="21">
                  <c:v>18666</c:v>
                </c:pt>
                <c:pt idx="22">
                  <c:v>19338</c:v>
                </c:pt>
                <c:pt idx="23">
                  <c:v>19527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F-444E-90B3-B911846F57FD}"/>
            </c:ext>
          </c:extLst>
        </c:ser>
        <c:ser>
          <c:idx val="1"/>
          <c:order val="1"/>
          <c:tx>
            <c:strRef>
              <c:f>'By Age'!$A$3</c:f>
              <c:strCache>
                <c:ptCount val="1"/>
                <c:pt idx="0">
                  <c:v>Nadal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'By Age'!$B$1:$AA$1</c:f>
              <c:numCache>
                <c:formatCode>General</c:formatCode>
                <c:ptCount val="2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</c:numCache>
            </c:numRef>
          </c:cat>
          <c:val>
            <c:numRef>
              <c:f>'By Age'!$B$3:$AA$3</c:f>
              <c:numCache>
                <c:formatCode>General</c:formatCode>
                <c:ptCount val="25"/>
                <c:pt idx="1">
                  <c:v>32</c:v>
                </c:pt>
                <c:pt idx="2">
                  <c:v>30</c:v>
                </c:pt>
                <c:pt idx="3">
                  <c:v>588</c:v>
                </c:pt>
                <c:pt idx="4">
                  <c:v>1323</c:v>
                </c:pt>
                <c:pt idx="5">
                  <c:v>2546</c:v>
                </c:pt>
                <c:pt idx="6">
                  <c:v>3817</c:v>
                </c:pt>
                <c:pt idx="7">
                  <c:v>4657</c:v>
                </c:pt>
                <c:pt idx="8">
                  <c:v>6331</c:v>
                </c:pt>
                <c:pt idx="9">
                  <c:v>7547</c:v>
                </c:pt>
                <c:pt idx="10">
                  <c:v>8249</c:v>
                </c:pt>
                <c:pt idx="11">
                  <c:v>9166</c:v>
                </c:pt>
                <c:pt idx="12">
                  <c:v>10030</c:v>
                </c:pt>
                <c:pt idx="13">
                  <c:v>10287</c:v>
                </c:pt>
                <c:pt idx="14">
                  <c:v>10231</c:v>
                </c:pt>
                <c:pt idx="15">
                  <c:v>11671</c:v>
                </c:pt>
                <c:pt idx="16">
                  <c:v>12766</c:v>
                </c:pt>
                <c:pt idx="17">
                  <c:v>14128</c:v>
                </c:pt>
                <c:pt idx="18">
                  <c:v>14666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F-444E-90B3-B911846F57FD}"/>
            </c:ext>
          </c:extLst>
        </c:ser>
        <c:ser>
          <c:idx val="2"/>
          <c:order val="2"/>
          <c:tx>
            <c:strRef>
              <c:f>'By Age'!$A$4</c:f>
              <c:strCache>
                <c:ptCount val="1"/>
                <c:pt idx="0">
                  <c:v>Sampras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'By Age'!$B$1:$AA$1</c:f>
              <c:numCache>
                <c:formatCode>General</c:formatCode>
                <c:ptCount val="2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</c:numCache>
            </c:numRef>
          </c:cat>
          <c:val>
            <c:numRef>
              <c:f>'By Age'!$B$4:$AA$4</c:f>
              <c:numCache>
                <c:formatCode>General</c:formatCode>
                <c:ptCount val="25"/>
                <c:pt idx="1">
                  <c:v>-69</c:v>
                </c:pt>
                <c:pt idx="2">
                  <c:v>-106</c:v>
                </c:pt>
                <c:pt idx="3">
                  <c:v>505</c:v>
                </c:pt>
                <c:pt idx="4">
                  <c:v>574</c:v>
                </c:pt>
                <c:pt idx="5">
                  <c:v>1309</c:v>
                </c:pt>
                <c:pt idx="6">
                  <c:v>2725</c:v>
                </c:pt>
                <c:pt idx="7">
                  <c:v>3824</c:v>
                </c:pt>
                <c:pt idx="8">
                  <c:v>4853</c:v>
                </c:pt>
                <c:pt idx="9">
                  <c:v>5849</c:v>
                </c:pt>
                <c:pt idx="10">
                  <c:v>6758</c:v>
                </c:pt>
                <c:pt idx="11">
                  <c:v>7527</c:v>
                </c:pt>
                <c:pt idx="12">
                  <c:v>7809</c:v>
                </c:pt>
                <c:pt idx="13">
                  <c:v>8449</c:v>
                </c:pt>
                <c:pt idx="14">
                  <c:v>8900</c:v>
                </c:pt>
                <c:pt idx="15">
                  <c:v>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F-444E-90B3-B911846F57FD}"/>
            </c:ext>
          </c:extLst>
        </c:ser>
        <c:ser>
          <c:idx val="3"/>
          <c:order val="3"/>
          <c:tx>
            <c:strRef>
              <c:f>'By Age'!$A$5</c:f>
              <c:strCache>
                <c:ptCount val="1"/>
                <c:pt idx="0">
                  <c:v>Djokovic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'By Age'!$B$1:$AA$1</c:f>
              <c:numCache>
                <c:formatCode>General</c:formatCode>
                <c:ptCount val="2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</c:numCache>
            </c:numRef>
          </c:cat>
          <c:val>
            <c:numRef>
              <c:f>'By Age'!$B$5:$AA$5</c:f>
              <c:numCache>
                <c:formatCode>General</c:formatCode>
                <c:ptCount val="25"/>
                <c:pt idx="2">
                  <c:v>146</c:v>
                </c:pt>
                <c:pt idx="3">
                  <c:v>585</c:v>
                </c:pt>
                <c:pt idx="4">
                  <c:v>1428</c:v>
                </c:pt>
                <c:pt idx="5">
                  <c:v>2283</c:v>
                </c:pt>
                <c:pt idx="6">
                  <c:v>2665</c:v>
                </c:pt>
                <c:pt idx="7">
                  <c:v>3434</c:v>
                </c:pt>
                <c:pt idx="8">
                  <c:v>5290</c:v>
                </c:pt>
                <c:pt idx="9">
                  <c:v>6724</c:v>
                </c:pt>
                <c:pt idx="10">
                  <c:v>8329</c:v>
                </c:pt>
                <c:pt idx="11">
                  <c:v>9772</c:v>
                </c:pt>
                <c:pt idx="12">
                  <c:v>11678</c:v>
                </c:pt>
                <c:pt idx="13">
                  <c:v>13010</c:v>
                </c:pt>
                <c:pt idx="14">
                  <c:v>13282</c:v>
                </c:pt>
                <c:pt idx="15">
                  <c:v>14472</c:v>
                </c:pt>
                <c:pt idx="16">
                  <c:v>15647</c:v>
                </c:pt>
                <c:pt idx="17">
                  <c:v>16586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1F-444E-90B3-B911846F57FD}"/>
            </c:ext>
          </c:extLst>
        </c:ser>
        <c:ser>
          <c:idx val="4"/>
          <c:order val="4"/>
          <c:tx>
            <c:strRef>
              <c:f>'By Age'!$A$6</c:f>
              <c:strCache>
                <c:ptCount val="1"/>
                <c:pt idx="0">
                  <c:v>Borg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'By Age'!$B$1:$AA$1</c:f>
              <c:numCache>
                <c:formatCode>General</c:formatCode>
                <c:ptCount val="2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</c:numCache>
            </c:numRef>
          </c:cat>
          <c:val>
            <c:numRef>
              <c:f>'By Age'!$B$6:$AA$6</c:f>
              <c:numCache>
                <c:formatCode>General</c:formatCode>
                <c:ptCount val="25"/>
                <c:pt idx="1">
                  <c:v>358</c:v>
                </c:pt>
                <c:pt idx="2">
                  <c:v>710</c:v>
                </c:pt>
                <c:pt idx="3">
                  <c:v>1639</c:v>
                </c:pt>
                <c:pt idx="4">
                  <c:v>2629</c:v>
                </c:pt>
                <c:pt idx="5">
                  <c:v>3204</c:v>
                </c:pt>
                <c:pt idx="6">
                  <c:v>4496</c:v>
                </c:pt>
                <c:pt idx="7">
                  <c:v>5430</c:v>
                </c:pt>
                <c:pt idx="8">
                  <c:v>6801</c:v>
                </c:pt>
                <c:pt idx="9">
                  <c:v>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1F-444E-90B3-B911846F57FD}"/>
            </c:ext>
          </c:extLst>
        </c:ser>
        <c:ser>
          <c:idx val="5"/>
          <c:order val="5"/>
          <c:tx>
            <c:strRef>
              <c:f>'By Age'!$A$7</c:f>
              <c:strCache>
                <c:ptCount val="1"/>
                <c:pt idx="0">
                  <c:v>Connors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'By Age'!$B$1:$AA$1</c:f>
              <c:numCache>
                <c:formatCode>General</c:formatCode>
                <c:ptCount val="2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</c:numCache>
            </c:numRef>
          </c:cat>
          <c:val>
            <c:numRef>
              <c:f>'By Age'!$B$7:$AA$7</c:f>
              <c:numCache>
                <c:formatCode>General</c:formatCode>
                <c:ptCount val="25"/>
                <c:pt idx="2">
                  <c:v>-18</c:v>
                </c:pt>
                <c:pt idx="3">
                  <c:v>-61</c:v>
                </c:pt>
                <c:pt idx="4">
                  <c:v>146</c:v>
                </c:pt>
                <c:pt idx="5">
                  <c:v>312</c:v>
                </c:pt>
                <c:pt idx="6">
                  <c:v>1686</c:v>
                </c:pt>
                <c:pt idx="7">
                  <c:v>2638</c:v>
                </c:pt>
                <c:pt idx="8">
                  <c:v>3177</c:v>
                </c:pt>
                <c:pt idx="9">
                  <c:v>3860</c:v>
                </c:pt>
                <c:pt idx="10">
                  <c:v>4787</c:v>
                </c:pt>
                <c:pt idx="11">
                  <c:v>5593</c:v>
                </c:pt>
                <c:pt idx="12">
                  <c:v>6344</c:v>
                </c:pt>
                <c:pt idx="13">
                  <c:v>6894</c:v>
                </c:pt>
                <c:pt idx="14">
                  <c:v>7981</c:v>
                </c:pt>
                <c:pt idx="15">
                  <c:v>8697</c:v>
                </c:pt>
                <c:pt idx="16">
                  <c:v>9393</c:v>
                </c:pt>
                <c:pt idx="17">
                  <c:v>9991</c:v>
                </c:pt>
                <c:pt idx="18">
                  <c:v>9894</c:v>
                </c:pt>
                <c:pt idx="19">
                  <c:v>10347</c:v>
                </c:pt>
                <c:pt idx="20">
                  <c:v>10314</c:v>
                </c:pt>
                <c:pt idx="21">
                  <c:v>10488</c:v>
                </c:pt>
                <c:pt idx="22">
                  <c:v>10488</c:v>
                </c:pt>
                <c:pt idx="23">
                  <c:v>10922</c:v>
                </c:pt>
                <c:pt idx="24">
                  <c:v>10870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1F-444E-90B3-B911846F57FD}"/>
            </c:ext>
          </c:extLst>
        </c:ser>
        <c:ser>
          <c:idx val="6"/>
          <c:order val="6"/>
          <c:tx>
            <c:strRef>
              <c:f>'By Age'!$A$8</c:f>
              <c:strCache>
                <c:ptCount val="1"/>
                <c:pt idx="0">
                  <c:v>Lendl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Age'!$B$1:$AA$1</c:f>
              <c:numCache>
                <c:formatCode>General</c:formatCode>
                <c:ptCount val="2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</c:numCache>
            </c:numRef>
          </c:cat>
          <c:val>
            <c:numRef>
              <c:f>'By Age'!$B$8:$AA$8</c:f>
              <c:numCache>
                <c:formatCode>General</c:formatCode>
                <c:ptCount val="25"/>
                <c:pt idx="2">
                  <c:v>-99</c:v>
                </c:pt>
                <c:pt idx="3">
                  <c:v>32</c:v>
                </c:pt>
                <c:pt idx="4">
                  <c:v>245</c:v>
                </c:pt>
                <c:pt idx="5">
                  <c:v>578</c:v>
                </c:pt>
                <c:pt idx="6">
                  <c:v>1000</c:v>
                </c:pt>
                <c:pt idx="7">
                  <c:v>1981</c:v>
                </c:pt>
                <c:pt idx="8">
                  <c:v>3198</c:v>
                </c:pt>
                <c:pt idx="9">
                  <c:v>4135</c:v>
                </c:pt>
                <c:pt idx="10">
                  <c:v>5384</c:v>
                </c:pt>
                <c:pt idx="11">
                  <c:v>6868</c:v>
                </c:pt>
                <c:pt idx="12">
                  <c:v>7786</c:v>
                </c:pt>
                <c:pt idx="13">
                  <c:v>8938</c:v>
                </c:pt>
                <c:pt idx="14">
                  <c:v>9513</c:v>
                </c:pt>
                <c:pt idx="15">
                  <c:v>10233</c:v>
                </c:pt>
                <c:pt idx="16">
                  <c:v>10584</c:v>
                </c:pt>
                <c:pt idx="17">
                  <c:v>10301</c:v>
                </c:pt>
                <c:pt idx="18">
                  <c:v>10423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1F-444E-90B3-B911846F57FD}"/>
            </c:ext>
          </c:extLst>
        </c:ser>
        <c:ser>
          <c:idx val="7"/>
          <c:order val="7"/>
          <c:tx>
            <c:strRef>
              <c:f>'By Age'!$A$9</c:f>
              <c:strCache>
                <c:ptCount val="1"/>
                <c:pt idx="0">
                  <c:v>Agassi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Age'!$B$1:$AA$1</c:f>
              <c:numCache>
                <c:formatCode>General</c:formatCode>
                <c:ptCount val="2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</c:numCache>
            </c:numRef>
          </c:cat>
          <c:val>
            <c:numRef>
              <c:f>'By Age'!$B$9:$AA$9</c:f>
              <c:numCache>
                <c:formatCode>General</c:formatCode>
                <c:ptCount val="25"/>
                <c:pt idx="0">
                  <c:v>-99</c:v>
                </c:pt>
                <c:pt idx="1">
                  <c:v>-210</c:v>
                </c:pt>
                <c:pt idx="2">
                  <c:v>170</c:v>
                </c:pt>
                <c:pt idx="3">
                  <c:v>292</c:v>
                </c:pt>
                <c:pt idx="4">
                  <c:v>952</c:v>
                </c:pt>
                <c:pt idx="5">
                  <c:v>1406</c:v>
                </c:pt>
                <c:pt idx="6">
                  <c:v>2359</c:v>
                </c:pt>
                <c:pt idx="7">
                  <c:v>2465</c:v>
                </c:pt>
                <c:pt idx="8">
                  <c:v>3095</c:v>
                </c:pt>
                <c:pt idx="9">
                  <c:v>4165</c:v>
                </c:pt>
                <c:pt idx="10">
                  <c:v>4365</c:v>
                </c:pt>
                <c:pt idx="11">
                  <c:v>4411</c:v>
                </c:pt>
                <c:pt idx="12">
                  <c:v>4505</c:v>
                </c:pt>
                <c:pt idx="13">
                  <c:v>5464</c:v>
                </c:pt>
                <c:pt idx="14">
                  <c:v>6108</c:v>
                </c:pt>
                <c:pt idx="15">
                  <c:v>7019</c:v>
                </c:pt>
                <c:pt idx="16">
                  <c:v>7291</c:v>
                </c:pt>
                <c:pt idx="17">
                  <c:v>8140</c:v>
                </c:pt>
                <c:pt idx="18">
                  <c:v>8405</c:v>
                </c:pt>
                <c:pt idx="19">
                  <c:v>8814</c:v>
                </c:pt>
                <c:pt idx="20">
                  <c:v>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1F-444E-90B3-B911846F57FD}"/>
            </c:ext>
          </c:extLst>
        </c:ser>
        <c:ser>
          <c:idx val="8"/>
          <c:order val="8"/>
          <c:tx>
            <c:strRef>
              <c:f>'By Age'!$A$10</c:f>
              <c:strCache>
                <c:ptCount val="1"/>
                <c:pt idx="0">
                  <c:v>McEnroe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Age'!$B$1:$AA$1</c:f>
              <c:numCache>
                <c:formatCode>General</c:formatCode>
                <c:ptCount val="2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</c:numCache>
            </c:numRef>
          </c:cat>
          <c:val>
            <c:numRef>
              <c:f>'By Age'!$B$10:$AA$10</c:f>
              <c:numCache>
                <c:formatCode>General</c:formatCode>
                <c:ptCount val="25"/>
                <c:pt idx="2">
                  <c:v>369</c:v>
                </c:pt>
                <c:pt idx="3">
                  <c:v>528</c:v>
                </c:pt>
                <c:pt idx="4">
                  <c:v>1139</c:v>
                </c:pt>
                <c:pt idx="5">
                  <c:v>1854</c:v>
                </c:pt>
                <c:pt idx="6">
                  <c:v>2976</c:v>
                </c:pt>
                <c:pt idx="7">
                  <c:v>3554</c:v>
                </c:pt>
                <c:pt idx="8">
                  <c:v>4178</c:v>
                </c:pt>
                <c:pt idx="9">
                  <c:v>5481</c:v>
                </c:pt>
                <c:pt idx="10">
                  <c:v>6089</c:v>
                </c:pt>
                <c:pt idx="11">
                  <c:v>6069</c:v>
                </c:pt>
                <c:pt idx="12">
                  <c:v>6227</c:v>
                </c:pt>
                <c:pt idx="13">
                  <c:v>6192</c:v>
                </c:pt>
                <c:pt idx="14">
                  <c:v>6503</c:v>
                </c:pt>
                <c:pt idx="15">
                  <c:v>6705</c:v>
                </c:pt>
                <c:pt idx="16">
                  <c:v>6705</c:v>
                </c:pt>
                <c:pt idx="17">
                  <c:v>7077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1F-444E-90B3-B911846F57FD}"/>
            </c:ext>
          </c:extLst>
        </c:ser>
        <c:ser>
          <c:idx val="9"/>
          <c:order val="9"/>
          <c:tx>
            <c:strRef>
              <c:f>'By Age'!$A$11</c:f>
              <c:strCache>
                <c:ptCount val="1"/>
                <c:pt idx="0">
                  <c:v>Wilander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Age'!$B$1:$AA$1</c:f>
              <c:numCache>
                <c:formatCode>General</c:formatCode>
                <c:ptCount val="2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</c:numCache>
            </c:numRef>
          </c:cat>
          <c:val>
            <c:numRef>
              <c:f>'By Age'!$B$11:$AA$11</c:f>
              <c:numCache>
                <c:formatCode>General</c:formatCode>
                <c:ptCount val="25"/>
                <c:pt idx="1">
                  <c:v>-98</c:v>
                </c:pt>
                <c:pt idx="2">
                  <c:v>636</c:v>
                </c:pt>
                <c:pt idx="3">
                  <c:v>1680</c:v>
                </c:pt>
                <c:pt idx="4">
                  <c:v>2407</c:v>
                </c:pt>
                <c:pt idx="5">
                  <c:v>3373</c:v>
                </c:pt>
                <c:pt idx="6">
                  <c:v>3420</c:v>
                </c:pt>
                <c:pt idx="7">
                  <c:v>4270</c:v>
                </c:pt>
                <c:pt idx="8">
                  <c:v>5780</c:v>
                </c:pt>
                <c:pt idx="9">
                  <c:v>5890</c:v>
                </c:pt>
                <c:pt idx="10">
                  <c:v>6075</c:v>
                </c:pt>
                <c:pt idx="11">
                  <c:v>6035</c:v>
                </c:pt>
                <c:pt idx="12">
                  <c:v>6035</c:v>
                </c:pt>
                <c:pt idx="13">
                  <c:v>6113</c:v>
                </c:pt>
                <c:pt idx="14">
                  <c:v>5972</c:v>
                </c:pt>
                <c:pt idx="15">
                  <c:v>5934</c:v>
                </c:pt>
                <c:pt idx="16">
                  <c:v>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1F-444E-90B3-B911846F57FD}"/>
            </c:ext>
          </c:extLst>
        </c:ser>
        <c:ser>
          <c:idx val="10"/>
          <c:order val="10"/>
          <c:tx>
            <c:strRef>
              <c:f>'By Age'!$A$12</c:f>
              <c:strCache>
                <c:ptCount val="1"/>
                <c:pt idx="0">
                  <c:v>Edberg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Age'!$B$1:$AA$1</c:f>
              <c:numCache>
                <c:formatCode>General</c:formatCode>
                <c:ptCount val="2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</c:numCache>
            </c:numRef>
          </c:cat>
          <c:val>
            <c:numRef>
              <c:f>'By Age'!$B$12:$AA$12</c:f>
              <c:numCache>
                <c:formatCode>General</c:formatCode>
                <c:ptCount val="25"/>
                <c:pt idx="1">
                  <c:v>-143</c:v>
                </c:pt>
                <c:pt idx="2">
                  <c:v>-17</c:v>
                </c:pt>
                <c:pt idx="3">
                  <c:v>775</c:v>
                </c:pt>
                <c:pt idx="4">
                  <c:v>1026</c:v>
                </c:pt>
                <c:pt idx="5">
                  <c:v>1790</c:v>
                </c:pt>
                <c:pt idx="6">
                  <c:v>2358</c:v>
                </c:pt>
                <c:pt idx="7">
                  <c:v>3122</c:v>
                </c:pt>
                <c:pt idx="8">
                  <c:v>3745</c:v>
                </c:pt>
                <c:pt idx="9">
                  <c:v>4666</c:v>
                </c:pt>
                <c:pt idx="10">
                  <c:v>5484</c:v>
                </c:pt>
                <c:pt idx="11">
                  <c:v>6085</c:v>
                </c:pt>
                <c:pt idx="12">
                  <c:v>6145</c:v>
                </c:pt>
                <c:pt idx="13">
                  <c:v>6147</c:v>
                </c:pt>
                <c:pt idx="14">
                  <c:v>6568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1F-444E-90B3-B911846F57FD}"/>
            </c:ext>
          </c:extLst>
        </c:ser>
        <c:ser>
          <c:idx val="11"/>
          <c:order val="11"/>
          <c:tx>
            <c:strRef>
              <c:f>'By Age'!$A$13</c:f>
              <c:strCache>
                <c:ptCount val="1"/>
                <c:pt idx="0">
                  <c:v>Becker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Age'!$B$1:$AA$1</c:f>
              <c:numCache>
                <c:formatCode>General</c:formatCode>
                <c:ptCount val="2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</c:numCache>
            </c:numRef>
          </c:cat>
          <c:val>
            <c:numRef>
              <c:f>'By Age'!$B$13:$AA$13</c:f>
              <c:numCache>
                <c:formatCode>General</c:formatCode>
                <c:ptCount val="25"/>
                <c:pt idx="1">
                  <c:v>203</c:v>
                </c:pt>
                <c:pt idx="2">
                  <c:v>700</c:v>
                </c:pt>
                <c:pt idx="3">
                  <c:v>1485</c:v>
                </c:pt>
                <c:pt idx="4">
                  <c:v>1778</c:v>
                </c:pt>
                <c:pt idx="5">
                  <c:v>2243</c:v>
                </c:pt>
                <c:pt idx="6">
                  <c:v>3369</c:v>
                </c:pt>
                <c:pt idx="7">
                  <c:v>4108</c:v>
                </c:pt>
                <c:pt idx="8">
                  <c:v>5164</c:v>
                </c:pt>
                <c:pt idx="9">
                  <c:v>5431</c:v>
                </c:pt>
                <c:pt idx="10">
                  <c:v>5620</c:v>
                </c:pt>
                <c:pt idx="11">
                  <c:v>5701</c:v>
                </c:pt>
                <c:pt idx="12">
                  <c:v>6009</c:v>
                </c:pt>
                <c:pt idx="13">
                  <c:v>6446</c:v>
                </c:pt>
                <c:pt idx="14">
                  <c:v>6591</c:v>
                </c:pt>
                <c:pt idx="15">
                  <c:v>6591</c:v>
                </c:pt>
                <c:pt idx="16">
                  <c:v>6740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1F-444E-90B3-B911846F5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6641648"/>
        <c:axId val="-1456639744"/>
      </c:lineChart>
      <c:catAx>
        <c:axId val="-145664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639744"/>
        <c:crosses val="autoZero"/>
        <c:auto val="1"/>
        <c:lblAlgn val="ctr"/>
        <c:lblOffset val="100"/>
        <c:noMultiLvlLbl val="0"/>
      </c:catAx>
      <c:valAx>
        <c:axId val="-14566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64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40"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5"/>
  <sheetViews>
    <sheetView zoomScale="109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6"/>
  <sheetViews>
    <sheetView zoomScale="137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7"/>
  <sheetViews>
    <sheetView zoomScale="102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8"/>
  <sheetViews>
    <sheetView zoomScale="1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"/>
  <sheetViews>
    <sheetView zoomScale="13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2"/>
  <sheetViews>
    <sheetView zoomScale="160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3"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80275" cy="62917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1325" cy="62911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77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733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237B1-48E5-EA4A-A70B-E90BE5800D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C2E713-2FFD-4048-B1C7-7156D245F0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830" cy="62824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4C026-4667-EF43-B87D-696CAC747B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59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3C73C-538D-CF46-98DC-81C485F3CA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59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CC5A5-D595-5F4B-993C-48C2C491CF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1325" cy="62911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288"/>
  <sheetViews>
    <sheetView topLeftCell="A2" workbookViewId="0">
      <pane xSplit="3" ySplit="1" topLeftCell="D3" activePane="bottomRight" state="frozen"/>
      <selection activeCell="A2" sqref="A2"/>
      <selection pane="topRight" activeCell="D2" sqref="D2"/>
      <selection pane="bottomLeft" activeCell="A3" sqref="A3"/>
      <selection pane="bottomRight" activeCell="N26" sqref="N26"/>
    </sheetView>
  </sheetViews>
  <sheetFormatPr baseColWidth="10" defaultColWidth="10.83203125" defaultRowHeight="16" x14ac:dyDescent="0.2"/>
  <cols>
    <col min="1" max="1" width="10.1640625" style="67" hidden="1" customWidth="1"/>
    <col min="2" max="3" width="10.5" style="67" customWidth="1"/>
    <col min="4" max="23" width="4.83203125" style="1" customWidth="1"/>
    <col min="24" max="26" width="4.83203125" style="11" customWidth="1"/>
    <col min="27" max="28" width="6.5" style="1" customWidth="1"/>
    <col min="29" max="16384" width="10.83203125" style="1"/>
  </cols>
  <sheetData>
    <row r="1" spans="1:30" ht="16" customHeight="1" x14ac:dyDescent="0.2">
      <c r="B1" s="189" t="s">
        <v>6</v>
      </c>
      <c r="C1" s="189"/>
      <c r="D1" s="189" t="s">
        <v>7</v>
      </c>
      <c r="E1" s="189"/>
      <c r="F1" s="189"/>
      <c r="G1" s="189"/>
      <c r="H1" s="189"/>
      <c r="I1" s="189"/>
      <c r="J1" s="189" t="s">
        <v>8</v>
      </c>
      <c r="K1" s="189"/>
      <c r="L1" s="189"/>
      <c r="M1" s="189"/>
      <c r="N1" s="189"/>
      <c r="O1" s="189"/>
      <c r="P1" s="189"/>
      <c r="Q1" s="189"/>
      <c r="R1" s="189" t="s">
        <v>9</v>
      </c>
      <c r="S1" s="189"/>
      <c r="T1" s="189"/>
      <c r="U1" s="189"/>
      <c r="V1" s="189"/>
      <c r="W1" s="189"/>
      <c r="X1" s="189"/>
      <c r="Y1" s="189"/>
      <c r="Z1" s="189"/>
      <c r="AA1" s="189"/>
    </row>
    <row r="2" spans="1:30" ht="16" customHeight="1" x14ac:dyDescent="0.2">
      <c r="B2" s="189" t="s">
        <v>1</v>
      </c>
      <c r="C2" s="189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1">
        <v>21</v>
      </c>
      <c r="Y2" s="11">
        <v>22</v>
      </c>
      <c r="Z2" s="11">
        <v>23</v>
      </c>
      <c r="AA2" s="1" t="s">
        <v>23</v>
      </c>
      <c r="AB2" s="1" t="s">
        <v>36</v>
      </c>
    </row>
    <row r="3" spans="1:30" s="142" customFormat="1" ht="16" customHeight="1" x14ac:dyDescent="0.2">
      <c r="A3" s="142" t="str">
        <f>B3&amp;"1"</f>
        <v>Roger Federer1</v>
      </c>
      <c r="B3" s="189" t="s">
        <v>0</v>
      </c>
      <c r="C3" s="142" t="s">
        <v>2</v>
      </c>
      <c r="D3" s="116"/>
      <c r="E3" s="31">
        <v>9</v>
      </c>
      <c r="F3" s="31">
        <v>78</v>
      </c>
      <c r="G3" s="31">
        <v>65</v>
      </c>
      <c r="H3" s="31">
        <v>32</v>
      </c>
      <c r="I3" s="17">
        <v>341</v>
      </c>
      <c r="J3" s="43">
        <v>174</v>
      </c>
      <c r="K3" s="17">
        <v>431</v>
      </c>
      <c r="L3" s="17">
        <v>556</v>
      </c>
      <c r="M3" s="43">
        <v>308</v>
      </c>
      <c r="N3" s="18">
        <v>434</v>
      </c>
      <c r="O3" s="17">
        <v>592</v>
      </c>
      <c r="P3" s="43">
        <v>306</v>
      </c>
      <c r="Q3" s="43">
        <v>213</v>
      </c>
      <c r="R3" s="43">
        <v>368</v>
      </c>
      <c r="S3" s="43">
        <v>228</v>
      </c>
      <c r="T3" s="31">
        <v>59</v>
      </c>
      <c r="U3" s="43">
        <v>337</v>
      </c>
      <c r="V3" s="17">
        <v>474</v>
      </c>
      <c r="W3" s="17">
        <v>452</v>
      </c>
      <c r="X3" s="31">
        <v>38</v>
      </c>
      <c r="Y3" s="43">
        <v>189</v>
      </c>
      <c r="Z3" s="16"/>
      <c r="AA3" s="142">
        <f>SUM(D3:Z3)</f>
        <v>5684</v>
      </c>
      <c r="AB3" s="142">
        <f>COUNT(D3:Z3)</f>
        <v>21</v>
      </c>
      <c r="AD3" s="22">
        <v>10</v>
      </c>
    </row>
    <row r="4" spans="1:30" s="142" customFormat="1" ht="16" customHeight="1" x14ac:dyDescent="0.2">
      <c r="A4" s="142" t="str">
        <f>B3&amp;"2"</f>
        <v>Roger Federer2</v>
      </c>
      <c r="B4" s="189"/>
      <c r="C4" s="142" t="s">
        <v>3</v>
      </c>
      <c r="D4" s="20">
        <v>-3</v>
      </c>
      <c r="E4" s="20">
        <v>23</v>
      </c>
      <c r="F4" s="22">
        <v>51</v>
      </c>
      <c r="G4" s="20">
        <v>-45</v>
      </c>
      <c r="H4" s="20">
        <v>-88</v>
      </c>
      <c r="I4" s="20">
        <v>39</v>
      </c>
      <c r="J4" s="21">
        <v>212</v>
      </c>
      <c r="K4" s="24">
        <v>363</v>
      </c>
      <c r="L4" s="24">
        <v>378</v>
      </c>
      <c r="M4" s="24">
        <v>344</v>
      </c>
      <c r="N4" s="23">
        <v>473</v>
      </c>
      <c r="O4" s="22">
        <v>149</v>
      </c>
      <c r="P4" s="24">
        <v>434</v>
      </c>
      <c r="Q4" s="21">
        <v>152</v>
      </c>
      <c r="R4" s="22">
        <v>161</v>
      </c>
      <c r="S4" s="20">
        <v>65</v>
      </c>
      <c r="T4" s="22">
        <v>145</v>
      </c>
      <c r="U4" s="151"/>
      <c r="V4" s="151"/>
      <c r="W4" s="151"/>
      <c r="X4" s="21">
        <v>186</v>
      </c>
      <c r="Y4" s="19"/>
      <c r="Z4" s="20">
        <v>95</v>
      </c>
      <c r="AA4" s="142">
        <f>SUM(D4:Z4)</f>
        <v>3134</v>
      </c>
      <c r="AB4" s="142">
        <f>COUNT(D4:Z4)</f>
        <v>19</v>
      </c>
      <c r="AD4" s="21">
        <v>20</v>
      </c>
    </row>
    <row r="5" spans="1:30" s="142" customFormat="1" ht="16" customHeight="1" x14ac:dyDescent="0.2">
      <c r="A5" s="142" t="str">
        <f>B3&amp;"3"</f>
        <v>Roger Federer3</v>
      </c>
      <c r="B5" s="189"/>
      <c r="C5" s="142" t="s">
        <v>4</v>
      </c>
      <c r="D5" s="20">
        <v>-58</v>
      </c>
      <c r="E5" s="20">
        <v>-5</v>
      </c>
      <c r="F5" s="22">
        <v>234</v>
      </c>
      <c r="G5" s="20">
        <v>-99</v>
      </c>
      <c r="H5" s="23">
        <v>467</v>
      </c>
      <c r="I5" s="23">
        <v>372</v>
      </c>
      <c r="J5" s="23">
        <v>519</v>
      </c>
      <c r="K5" s="23">
        <v>478</v>
      </c>
      <c r="L5" s="23">
        <v>535</v>
      </c>
      <c r="M5" s="24">
        <v>297</v>
      </c>
      <c r="N5" s="23">
        <v>551</v>
      </c>
      <c r="O5" s="22">
        <v>137</v>
      </c>
      <c r="P5" s="22">
        <v>236</v>
      </c>
      <c r="Q5" s="23">
        <v>504</v>
      </c>
      <c r="R5" s="20">
        <v>-47</v>
      </c>
      <c r="S5" s="24">
        <v>376</v>
      </c>
      <c r="T5" s="24">
        <v>401</v>
      </c>
      <c r="U5" s="21">
        <v>233</v>
      </c>
      <c r="V5" s="23">
        <v>516</v>
      </c>
      <c r="W5" s="22">
        <v>185</v>
      </c>
      <c r="X5" s="24">
        <v>387</v>
      </c>
      <c r="Y5" s="19"/>
      <c r="Z5" s="22">
        <v>247</v>
      </c>
      <c r="AA5" s="142">
        <f>SUM(D5:Z5)</f>
        <v>6466</v>
      </c>
      <c r="AB5" s="142">
        <f>COUNT(D5:Z5)</f>
        <v>22</v>
      </c>
      <c r="AD5" s="24">
        <v>30</v>
      </c>
    </row>
    <row r="6" spans="1:30" s="142" customFormat="1" ht="16" customHeight="1" x14ac:dyDescent="0.2">
      <c r="A6" s="142" t="str">
        <f>B3&amp;"4"</f>
        <v>Roger Federer4</v>
      </c>
      <c r="B6" s="189"/>
      <c r="C6" s="142" t="s">
        <v>5</v>
      </c>
      <c r="D6" s="151"/>
      <c r="E6" s="20">
        <v>-10</v>
      </c>
      <c r="F6" s="20">
        <v>103</v>
      </c>
      <c r="G6" s="20">
        <v>51</v>
      </c>
      <c r="H6" s="20">
        <v>83</v>
      </c>
      <c r="I6" s="23">
        <v>545</v>
      </c>
      <c r="J6" s="23">
        <v>511</v>
      </c>
      <c r="K6" s="23">
        <v>405</v>
      </c>
      <c r="L6" s="23">
        <v>381</v>
      </c>
      <c r="M6" s="23">
        <v>393</v>
      </c>
      <c r="N6" s="24">
        <v>401</v>
      </c>
      <c r="O6" s="21">
        <v>205</v>
      </c>
      <c r="P6" s="21">
        <v>298</v>
      </c>
      <c r="Q6" s="22">
        <v>115</v>
      </c>
      <c r="R6" s="20">
        <v>108</v>
      </c>
      <c r="S6" s="21">
        <v>252</v>
      </c>
      <c r="T6" s="24">
        <v>470</v>
      </c>
      <c r="U6" s="151"/>
      <c r="V6" s="22">
        <v>153</v>
      </c>
      <c r="W6" s="20">
        <v>60</v>
      </c>
      <c r="X6" s="19">
        <v>61</v>
      </c>
      <c r="Y6" s="19"/>
      <c r="Z6" s="19"/>
      <c r="AA6" s="142">
        <f>SUM(D6:Z6)</f>
        <v>4585</v>
      </c>
      <c r="AB6" s="142">
        <f>COUNT(D6:Z6)</f>
        <v>19</v>
      </c>
      <c r="AD6" s="23">
        <v>50</v>
      </c>
    </row>
    <row r="7" spans="1:30" s="142" customFormat="1" ht="16" customHeight="1" x14ac:dyDescent="0.2">
      <c r="A7" s="142" t="str">
        <f>B3&amp;"5"</f>
        <v>Roger Federer5</v>
      </c>
      <c r="B7" s="189"/>
      <c r="C7" s="142">
        <f>SUM(D7:Z7)</f>
        <v>19869</v>
      </c>
      <c r="D7" s="151">
        <f>SUM(D3:D6)</f>
        <v>-61</v>
      </c>
      <c r="E7" s="151">
        <f t="shared" ref="E7:Z7" si="0">SUM(E3:E6)</f>
        <v>17</v>
      </c>
      <c r="F7" s="151">
        <f t="shared" si="0"/>
        <v>466</v>
      </c>
      <c r="G7" s="151">
        <f t="shared" si="0"/>
        <v>-28</v>
      </c>
      <c r="H7" s="151">
        <f t="shared" si="0"/>
        <v>494</v>
      </c>
      <c r="I7" s="151">
        <f t="shared" si="0"/>
        <v>1297</v>
      </c>
      <c r="J7" s="151">
        <f t="shared" si="0"/>
        <v>1416</v>
      </c>
      <c r="K7" s="151">
        <f t="shared" si="0"/>
        <v>1677</v>
      </c>
      <c r="L7" s="151">
        <f t="shared" si="0"/>
        <v>1850</v>
      </c>
      <c r="M7" s="151">
        <f t="shared" si="0"/>
        <v>1342</v>
      </c>
      <c r="N7" s="151">
        <f t="shared" si="0"/>
        <v>1859</v>
      </c>
      <c r="O7" s="151">
        <f t="shared" si="0"/>
        <v>1083</v>
      </c>
      <c r="P7" s="151">
        <f>SUM(P3:P6)</f>
        <v>1274</v>
      </c>
      <c r="Q7" s="151">
        <f t="shared" si="0"/>
        <v>984</v>
      </c>
      <c r="R7" s="19">
        <f t="shared" si="0"/>
        <v>590</v>
      </c>
      <c r="S7" s="151">
        <f t="shared" si="0"/>
        <v>921</v>
      </c>
      <c r="T7" s="151">
        <f t="shared" si="0"/>
        <v>1075</v>
      </c>
      <c r="U7" s="151">
        <f t="shared" si="0"/>
        <v>570</v>
      </c>
      <c r="V7" s="151">
        <f t="shared" si="0"/>
        <v>1143</v>
      </c>
      <c r="W7" s="151">
        <f t="shared" si="0"/>
        <v>697</v>
      </c>
      <c r="X7" s="151">
        <f t="shared" si="0"/>
        <v>672</v>
      </c>
      <c r="Y7" s="151">
        <f t="shared" si="0"/>
        <v>189</v>
      </c>
      <c r="Z7" s="151">
        <f t="shared" si="0"/>
        <v>342</v>
      </c>
    </row>
    <row r="8" spans="1:30" ht="16" customHeight="1" x14ac:dyDescent="0.2">
      <c r="A8" s="142" t="str">
        <f t="shared" ref="A8" si="1">B8&amp;"1"</f>
        <v>Rafael Nadal1</v>
      </c>
      <c r="B8" s="189" t="s">
        <v>10</v>
      </c>
      <c r="C8" s="67" t="s">
        <v>2</v>
      </c>
      <c r="D8" s="4"/>
      <c r="E8" s="3">
        <v>-1</v>
      </c>
      <c r="F8" s="3">
        <v>118</v>
      </c>
      <c r="G8" s="4"/>
      <c r="H8" s="5">
        <v>203</v>
      </c>
      <c r="I8" s="8">
        <v>183</v>
      </c>
      <c r="J8" s="6">
        <v>469</v>
      </c>
      <c r="K8" s="5">
        <v>204</v>
      </c>
      <c r="L8" s="5">
        <v>107</v>
      </c>
      <c r="M8" s="7">
        <v>304</v>
      </c>
      <c r="N8" s="4"/>
      <c r="O8" s="7">
        <v>397</v>
      </c>
      <c r="P8" s="5">
        <v>152</v>
      </c>
      <c r="Q8" s="3">
        <v>-45</v>
      </c>
      <c r="R8" s="7">
        <v>480</v>
      </c>
      <c r="S8" s="5">
        <v>231</v>
      </c>
      <c r="T8" s="7">
        <v>345</v>
      </c>
      <c r="U8" s="5">
        <v>200</v>
      </c>
      <c r="V8" s="5">
        <v>165</v>
      </c>
      <c r="W8" s="6">
        <v>465</v>
      </c>
      <c r="X8" s="3">
        <v>-3</v>
      </c>
      <c r="Y8" s="4"/>
      <c r="Z8" s="4"/>
      <c r="AA8" s="11">
        <f>SUM(D8:Z8)</f>
        <v>3974</v>
      </c>
      <c r="AB8" s="13">
        <f>COUNT(D8:Z8)</f>
        <v>18</v>
      </c>
    </row>
    <row r="9" spans="1:30" ht="16" customHeight="1" x14ac:dyDescent="0.2">
      <c r="A9" s="142" t="str">
        <f t="shared" ref="A9" si="2">B8&amp;"2"</f>
        <v>Rafael Nadal2</v>
      </c>
      <c r="B9" s="189"/>
      <c r="C9" s="67" t="s">
        <v>3</v>
      </c>
      <c r="D9" s="4"/>
      <c r="E9" s="4"/>
      <c r="F9" s="6">
        <v>497</v>
      </c>
      <c r="G9" s="6">
        <v>453</v>
      </c>
      <c r="H9" s="6">
        <v>498</v>
      </c>
      <c r="I9" s="6">
        <v>481</v>
      </c>
      <c r="J9" s="3">
        <v>58</v>
      </c>
      <c r="K9" s="6">
        <v>509</v>
      </c>
      <c r="L9" s="6">
        <v>515</v>
      </c>
      <c r="M9" s="6">
        <v>477</v>
      </c>
      <c r="N9" s="6">
        <v>552</v>
      </c>
      <c r="O9" s="6">
        <v>432</v>
      </c>
      <c r="P9" s="5">
        <v>85</v>
      </c>
      <c r="Q9" s="3">
        <v>-54</v>
      </c>
      <c r="R9" s="6">
        <v>550</v>
      </c>
      <c r="S9" s="6">
        <v>453</v>
      </c>
      <c r="T9" s="6">
        <v>431</v>
      </c>
      <c r="U9" s="6">
        <v>338</v>
      </c>
      <c r="V9" s="8">
        <v>330</v>
      </c>
      <c r="W9" s="6">
        <v>522</v>
      </c>
      <c r="X9" s="4"/>
      <c r="Y9" s="3">
        <v>-4</v>
      </c>
      <c r="Z9" s="4"/>
      <c r="AA9" s="11">
        <f>SUM(D9:Z9)</f>
        <v>7123</v>
      </c>
      <c r="AB9" s="13">
        <f>COUNT(D9:Z9)</f>
        <v>19</v>
      </c>
    </row>
    <row r="10" spans="1:30" ht="16" customHeight="1" x14ac:dyDescent="0.2">
      <c r="A10" s="142" t="str">
        <f t="shared" ref="A10" si="3">B8&amp;"3"</f>
        <v>Rafael Nadal3</v>
      </c>
      <c r="B10" s="189"/>
      <c r="C10" s="67" t="s">
        <v>4</v>
      </c>
      <c r="D10" s="3">
        <v>15</v>
      </c>
      <c r="E10" s="4"/>
      <c r="F10" s="3">
        <v>-8</v>
      </c>
      <c r="G10" s="7">
        <v>267</v>
      </c>
      <c r="H10" s="7">
        <v>466</v>
      </c>
      <c r="I10" s="6">
        <v>452</v>
      </c>
      <c r="J10" s="4"/>
      <c r="K10" s="6">
        <v>431</v>
      </c>
      <c r="L10" s="7">
        <v>332</v>
      </c>
      <c r="M10" s="3">
        <v>-79</v>
      </c>
      <c r="N10" s="3">
        <v>-99</v>
      </c>
      <c r="O10" s="3">
        <v>35</v>
      </c>
      <c r="P10" s="3">
        <v>-41</v>
      </c>
      <c r="Q10" s="4"/>
      <c r="R10" s="3">
        <v>112</v>
      </c>
      <c r="S10" s="8">
        <v>154</v>
      </c>
      <c r="T10" s="8">
        <v>169</v>
      </c>
      <c r="U10" s="4"/>
      <c r="V10" s="4"/>
      <c r="W10" s="8">
        <v>321</v>
      </c>
      <c r="X10" s="4"/>
      <c r="Y10" s="4"/>
      <c r="Z10" s="4"/>
      <c r="AA10" s="11">
        <f>SUM(D10:Z10)</f>
        <v>2527</v>
      </c>
      <c r="AB10" s="13">
        <f>COUNT(D10:Z10)</f>
        <v>15</v>
      </c>
    </row>
    <row r="11" spans="1:30" ht="16" customHeight="1" x14ac:dyDescent="0.2">
      <c r="A11" s="142" t="str">
        <f t="shared" ref="A11" si="4">B8&amp;"4"</f>
        <v>Rafael Nadal4</v>
      </c>
      <c r="B11" s="189"/>
      <c r="C11" s="67" t="s">
        <v>5</v>
      </c>
      <c r="D11" s="3">
        <v>17</v>
      </c>
      <c r="E11" s="3">
        <v>-1</v>
      </c>
      <c r="F11" s="3">
        <v>-49</v>
      </c>
      <c r="G11" s="5">
        <v>15</v>
      </c>
      <c r="H11" s="3">
        <v>56</v>
      </c>
      <c r="I11" s="8">
        <v>155</v>
      </c>
      <c r="J11" s="8">
        <v>313</v>
      </c>
      <c r="K11" s="6">
        <v>530</v>
      </c>
      <c r="L11" s="7">
        <v>262</v>
      </c>
      <c r="M11" s="4"/>
      <c r="N11" s="6">
        <v>464</v>
      </c>
      <c r="O11" s="4"/>
      <c r="P11" s="3">
        <v>61</v>
      </c>
      <c r="Q11" s="3">
        <v>43</v>
      </c>
      <c r="R11" s="6">
        <v>298</v>
      </c>
      <c r="S11" s="8">
        <v>257</v>
      </c>
      <c r="T11" s="6">
        <v>417</v>
      </c>
      <c r="U11" s="4"/>
      <c r="V11" s="4"/>
      <c r="W11" s="3">
        <v>27</v>
      </c>
      <c r="AA11" s="11">
        <f>SUM(D11:Z11)</f>
        <v>2865</v>
      </c>
      <c r="AB11" s="13">
        <f>COUNT(D11:Z11)</f>
        <v>16</v>
      </c>
    </row>
    <row r="12" spans="1:30" ht="16" customHeight="1" x14ac:dyDescent="0.2">
      <c r="A12" s="142" t="str">
        <f t="shared" ref="A12" si="5">B8&amp;"5"</f>
        <v>Rafael Nadal5</v>
      </c>
      <c r="B12" s="189"/>
      <c r="C12" s="67">
        <f>SUM(D12:Z12)</f>
        <v>16489</v>
      </c>
      <c r="D12" s="2">
        <f>SUM(D8:D11)</f>
        <v>32</v>
      </c>
      <c r="E12" s="2">
        <f t="shared" ref="E12:Z12" si="6">SUM(E8:E11)</f>
        <v>-2</v>
      </c>
      <c r="F12" s="2">
        <f t="shared" si="6"/>
        <v>558</v>
      </c>
      <c r="G12" s="2">
        <f t="shared" si="6"/>
        <v>735</v>
      </c>
      <c r="H12" s="2">
        <f t="shared" si="6"/>
        <v>1223</v>
      </c>
      <c r="I12" s="2">
        <f t="shared" si="6"/>
        <v>1271</v>
      </c>
      <c r="J12" s="2">
        <f t="shared" si="6"/>
        <v>840</v>
      </c>
      <c r="K12" s="2">
        <f t="shared" si="6"/>
        <v>1674</v>
      </c>
      <c r="L12" s="2">
        <f t="shared" si="6"/>
        <v>1216</v>
      </c>
      <c r="M12" s="2">
        <f t="shared" si="6"/>
        <v>702</v>
      </c>
      <c r="N12" s="2">
        <f t="shared" si="6"/>
        <v>917</v>
      </c>
      <c r="O12" s="2">
        <f t="shared" si="6"/>
        <v>864</v>
      </c>
      <c r="P12" s="2">
        <f t="shared" si="6"/>
        <v>257</v>
      </c>
      <c r="Q12" s="2">
        <f t="shared" si="6"/>
        <v>-56</v>
      </c>
      <c r="R12" s="4">
        <f t="shared" si="6"/>
        <v>1440</v>
      </c>
      <c r="S12" s="2">
        <f t="shared" si="6"/>
        <v>1095</v>
      </c>
      <c r="T12" s="2">
        <f t="shared" si="6"/>
        <v>1362</v>
      </c>
      <c r="U12" s="2">
        <f t="shared" si="6"/>
        <v>538</v>
      </c>
      <c r="V12" s="2">
        <f t="shared" si="6"/>
        <v>495</v>
      </c>
      <c r="W12" s="2">
        <f t="shared" si="6"/>
        <v>1335</v>
      </c>
      <c r="X12" s="11">
        <f t="shared" si="6"/>
        <v>-3</v>
      </c>
      <c r="Y12" s="11">
        <f t="shared" si="6"/>
        <v>-4</v>
      </c>
      <c r="Z12" s="11">
        <f t="shared" si="6"/>
        <v>0</v>
      </c>
      <c r="AA12" s="2"/>
    </row>
    <row r="13" spans="1:30" ht="16" customHeight="1" x14ac:dyDescent="0.2">
      <c r="A13" s="142" t="str">
        <f t="shared" ref="A13" si="7">B13&amp;"1"</f>
        <v>Pete Sampras1</v>
      </c>
      <c r="B13" s="189" t="s">
        <v>15</v>
      </c>
      <c r="C13" s="67" t="s">
        <v>2</v>
      </c>
      <c r="D13" s="4"/>
      <c r="E13" s="3">
        <v>-81</v>
      </c>
      <c r="F13" s="3">
        <v>149</v>
      </c>
      <c r="G13" s="4"/>
      <c r="H13" s="4"/>
      <c r="I13" s="8">
        <v>273</v>
      </c>
      <c r="J13" s="6">
        <v>478</v>
      </c>
      <c r="K13" s="7">
        <v>306</v>
      </c>
      <c r="L13" s="3">
        <v>-28</v>
      </c>
      <c r="M13" s="6">
        <v>459</v>
      </c>
      <c r="N13" s="5">
        <v>156</v>
      </c>
      <c r="O13" s="4"/>
      <c r="P13" s="8">
        <v>122</v>
      </c>
      <c r="Q13" s="3">
        <v>50</v>
      </c>
      <c r="R13" s="3">
        <v>146</v>
      </c>
      <c r="S13" s="4"/>
      <c r="T13" s="4"/>
      <c r="U13" s="4"/>
      <c r="V13" s="4"/>
      <c r="W13" s="4"/>
      <c r="X13" s="4"/>
      <c r="Y13" s="4"/>
      <c r="Z13" s="4"/>
      <c r="AA13" s="11">
        <f>SUM(D13:Z13)</f>
        <v>2030</v>
      </c>
      <c r="AB13" s="13">
        <f>COUNT(D13:Z13)</f>
        <v>11</v>
      </c>
    </row>
    <row r="14" spans="1:30" ht="16" customHeight="1" x14ac:dyDescent="0.2">
      <c r="A14" s="142" t="str">
        <f t="shared" ref="A14" si="8">B13&amp;"2"</f>
        <v>Pete Sampras2</v>
      </c>
      <c r="B14" s="189"/>
      <c r="C14" s="67" t="s">
        <v>3</v>
      </c>
      <c r="D14" s="4"/>
      <c r="E14" s="3">
        <v>-14</v>
      </c>
      <c r="F14" s="4"/>
      <c r="G14" s="3">
        <v>-34</v>
      </c>
      <c r="H14" s="5">
        <v>147</v>
      </c>
      <c r="I14" s="5">
        <v>285</v>
      </c>
      <c r="J14" s="5">
        <v>81</v>
      </c>
      <c r="K14" s="3">
        <v>-24</v>
      </c>
      <c r="L14" s="8">
        <v>333</v>
      </c>
      <c r="M14" s="3">
        <v>47</v>
      </c>
      <c r="N14" s="3">
        <v>-30</v>
      </c>
      <c r="O14" s="3">
        <v>-91</v>
      </c>
      <c r="P14" s="3">
        <v>-25</v>
      </c>
      <c r="Q14" s="3">
        <v>-26</v>
      </c>
      <c r="R14" s="3">
        <v>-69</v>
      </c>
      <c r="S14" s="4"/>
      <c r="T14" s="4"/>
      <c r="U14" s="4"/>
      <c r="V14" s="4"/>
      <c r="W14" s="4"/>
      <c r="X14" s="4"/>
      <c r="Y14" s="4"/>
      <c r="Z14" s="4"/>
      <c r="AA14" s="11">
        <f>SUM(D14:Z14)</f>
        <v>580</v>
      </c>
      <c r="AB14" s="13">
        <f>COUNT(D14:Z14)</f>
        <v>13</v>
      </c>
    </row>
    <row r="15" spans="1:30" ht="16" customHeight="1" x14ac:dyDescent="0.2">
      <c r="A15" s="142" t="str">
        <f t="shared" ref="A15" si="9">B13&amp;"3"</f>
        <v>Pete Sampras3</v>
      </c>
      <c r="B15" s="189"/>
      <c r="C15" s="67" t="s">
        <v>4</v>
      </c>
      <c r="D15" s="4"/>
      <c r="E15" s="3">
        <v>-99</v>
      </c>
      <c r="F15" s="3">
        <v>-41</v>
      </c>
      <c r="G15" s="3">
        <v>-23</v>
      </c>
      <c r="H15" s="8">
        <v>291</v>
      </c>
      <c r="I15" s="6">
        <v>380</v>
      </c>
      <c r="J15" s="6">
        <v>515</v>
      </c>
      <c r="K15" s="6">
        <v>313</v>
      </c>
      <c r="L15" s="5">
        <v>224</v>
      </c>
      <c r="M15" s="6">
        <v>397</v>
      </c>
      <c r="N15" s="6">
        <v>464</v>
      </c>
      <c r="O15" s="6">
        <v>373</v>
      </c>
      <c r="P15" s="6">
        <v>279</v>
      </c>
      <c r="Q15" s="3">
        <v>31</v>
      </c>
      <c r="R15" s="3">
        <v>-98</v>
      </c>
      <c r="S15" s="4"/>
      <c r="T15" s="4"/>
      <c r="U15" s="4"/>
      <c r="V15" s="4"/>
      <c r="W15" s="4"/>
      <c r="X15" s="4"/>
      <c r="Y15" s="4"/>
      <c r="Z15" s="4"/>
      <c r="AA15" s="11">
        <f>SUM(D15:Z15)</f>
        <v>3006</v>
      </c>
      <c r="AB15" s="13">
        <f>COUNT(D15:Z15)</f>
        <v>14</v>
      </c>
    </row>
    <row r="16" spans="1:30" ht="16" customHeight="1" x14ac:dyDescent="0.2">
      <c r="A16" s="142" t="str">
        <f t="shared" ref="A16" si="10">B13&amp;"4"</f>
        <v>Pete Sampras4</v>
      </c>
      <c r="B16" s="189"/>
      <c r="C16" s="67" t="s">
        <v>5</v>
      </c>
      <c r="D16" s="3">
        <v>-69</v>
      </c>
      <c r="E16" s="3">
        <v>157</v>
      </c>
      <c r="F16" s="6">
        <v>503</v>
      </c>
      <c r="G16" s="5">
        <v>126</v>
      </c>
      <c r="H16" s="7">
        <v>297</v>
      </c>
      <c r="I16" s="6">
        <v>478</v>
      </c>
      <c r="J16" s="3">
        <v>25</v>
      </c>
      <c r="K16" s="6">
        <v>434</v>
      </c>
      <c r="L16" s="6">
        <v>467</v>
      </c>
      <c r="M16" s="3">
        <v>6</v>
      </c>
      <c r="N16" s="8">
        <v>179</v>
      </c>
      <c r="O16" s="4"/>
      <c r="P16" s="7">
        <v>264</v>
      </c>
      <c r="Q16" s="7">
        <v>396</v>
      </c>
      <c r="R16" s="6">
        <v>512</v>
      </c>
      <c r="S16" s="4"/>
      <c r="T16" s="4"/>
      <c r="U16" s="4"/>
      <c r="V16" s="4"/>
      <c r="W16" s="4"/>
      <c r="AA16" s="11">
        <f>SUM(D16:Z16)</f>
        <v>3775</v>
      </c>
      <c r="AB16" s="13">
        <f>COUNT(D16:Z16)</f>
        <v>14</v>
      </c>
    </row>
    <row r="17" spans="1:28" ht="16" customHeight="1" x14ac:dyDescent="0.2">
      <c r="A17" s="142" t="str">
        <f t="shared" ref="A17" si="11">B13&amp;"5"</f>
        <v>Pete Sampras5</v>
      </c>
      <c r="B17" s="189"/>
      <c r="C17" s="67">
        <f>SUM(D17:Z17)</f>
        <v>9391</v>
      </c>
      <c r="D17" s="2">
        <f>SUM(D13:D16)</f>
        <v>-69</v>
      </c>
      <c r="E17" s="2">
        <f t="shared" ref="E17:Z17" si="12">SUM(E13:E16)</f>
        <v>-37</v>
      </c>
      <c r="F17" s="2">
        <f t="shared" si="12"/>
        <v>611</v>
      </c>
      <c r="G17" s="2">
        <f t="shared" si="12"/>
        <v>69</v>
      </c>
      <c r="H17" s="2">
        <f t="shared" si="12"/>
        <v>735</v>
      </c>
      <c r="I17" s="2">
        <f t="shared" si="12"/>
        <v>1416</v>
      </c>
      <c r="J17" s="2">
        <f t="shared" si="12"/>
        <v>1099</v>
      </c>
      <c r="K17" s="2">
        <f t="shared" si="12"/>
        <v>1029</v>
      </c>
      <c r="L17" s="2">
        <f t="shared" si="12"/>
        <v>996</v>
      </c>
      <c r="M17" s="2">
        <f t="shared" si="12"/>
        <v>909</v>
      </c>
      <c r="N17" s="2">
        <f t="shared" si="12"/>
        <v>769</v>
      </c>
      <c r="O17" s="2">
        <f t="shared" si="12"/>
        <v>282</v>
      </c>
      <c r="P17" s="2">
        <f t="shared" si="12"/>
        <v>640</v>
      </c>
      <c r="Q17" s="2">
        <f t="shared" si="12"/>
        <v>451</v>
      </c>
      <c r="R17" s="4">
        <f t="shared" si="12"/>
        <v>491</v>
      </c>
      <c r="S17" s="2">
        <f t="shared" si="12"/>
        <v>0</v>
      </c>
      <c r="T17" s="2">
        <f t="shared" si="12"/>
        <v>0</v>
      </c>
      <c r="U17" s="2">
        <f t="shared" si="12"/>
        <v>0</v>
      </c>
      <c r="V17" s="2">
        <f t="shared" si="12"/>
        <v>0</v>
      </c>
      <c r="W17" s="2">
        <f t="shared" si="12"/>
        <v>0</v>
      </c>
      <c r="X17" s="11">
        <f t="shared" si="12"/>
        <v>0</v>
      </c>
      <c r="Y17" s="11">
        <f t="shared" si="12"/>
        <v>0</v>
      </c>
      <c r="Z17" s="11">
        <f t="shared" si="12"/>
        <v>0</v>
      </c>
      <c r="AA17" s="2"/>
    </row>
    <row r="18" spans="1:28" ht="16" customHeight="1" x14ac:dyDescent="0.2">
      <c r="A18" s="142" t="str">
        <f t="shared" ref="A18" si="13">B18&amp;"1"</f>
        <v>Novak Djokovic1</v>
      </c>
      <c r="B18" s="189" t="s">
        <v>18</v>
      </c>
      <c r="C18" s="67" t="s">
        <v>2</v>
      </c>
      <c r="D18" s="3">
        <v>-4</v>
      </c>
      <c r="E18" s="3">
        <v>-68</v>
      </c>
      <c r="F18" s="3">
        <v>78</v>
      </c>
      <c r="G18" s="6">
        <v>474</v>
      </c>
      <c r="H18" s="5">
        <v>40</v>
      </c>
      <c r="I18" s="5">
        <v>83</v>
      </c>
      <c r="J18" s="6">
        <v>571</v>
      </c>
      <c r="K18" s="6">
        <v>404</v>
      </c>
      <c r="L18" s="6">
        <v>570</v>
      </c>
      <c r="M18" s="5">
        <v>144</v>
      </c>
      <c r="N18" s="6">
        <v>472</v>
      </c>
      <c r="O18" s="6">
        <v>545</v>
      </c>
      <c r="P18" s="3">
        <v>-39</v>
      </c>
      <c r="Q18" s="3">
        <v>119</v>
      </c>
      <c r="R18" s="6">
        <v>474</v>
      </c>
      <c r="S18" s="6">
        <v>486</v>
      </c>
      <c r="T18" s="6">
        <v>475</v>
      </c>
      <c r="U18" s="4"/>
      <c r="V18" s="6">
        <v>484</v>
      </c>
      <c r="W18" s="8">
        <v>312</v>
      </c>
      <c r="X18" s="4"/>
      <c r="Y18" s="4"/>
      <c r="Z18" s="4"/>
      <c r="AA18" s="11">
        <f>SUM(D18:Z18)</f>
        <v>5620</v>
      </c>
      <c r="AB18" s="13">
        <f>COUNT(D18:Z18)</f>
        <v>19</v>
      </c>
    </row>
    <row r="19" spans="1:28" ht="16" customHeight="1" x14ac:dyDescent="0.2">
      <c r="A19" s="142" t="str">
        <f t="shared" ref="A19" si="14">B18&amp;"2"</f>
        <v>Novak Djokovic2</v>
      </c>
      <c r="B19" s="189"/>
      <c r="C19" s="67" t="s">
        <v>3</v>
      </c>
      <c r="D19" s="3">
        <v>21</v>
      </c>
      <c r="E19" s="5">
        <v>305</v>
      </c>
      <c r="F19" s="8">
        <v>91</v>
      </c>
      <c r="G19" s="8">
        <v>160</v>
      </c>
      <c r="H19" s="3">
        <v>-27</v>
      </c>
      <c r="I19" s="5">
        <v>87</v>
      </c>
      <c r="J19" s="8">
        <v>299</v>
      </c>
      <c r="K19" s="7">
        <v>303</v>
      </c>
      <c r="L19" s="8">
        <v>322</v>
      </c>
      <c r="M19" s="7">
        <v>479</v>
      </c>
      <c r="N19" s="7">
        <v>352</v>
      </c>
      <c r="O19" s="6">
        <v>454</v>
      </c>
      <c r="P19" s="5">
        <v>208</v>
      </c>
      <c r="Q19" s="5">
        <v>97</v>
      </c>
      <c r="R19" s="8">
        <v>224</v>
      </c>
      <c r="S19" s="7">
        <v>344</v>
      </c>
      <c r="T19" s="6">
        <v>406</v>
      </c>
      <c r="U19" s="5">
        <v>154</v>
      </c>
      <c r="V19" s="6">
        <v>435</v>
      </c>
      <c r="W19" s="5">
        <v>195</v>
      </c>
      <c r="X19" s="4"/>
      <c r="Y19" s="4"/>
      <c r="Z19" s="4"/>
      <c r="AA19" s="11">
        <f>SUM(D19:Z19)</f>
        <v>4909</v>
      </c>
      <c r="AB19" s="13">
        <f>COUNT(D19:Z19)</f>
        <v>20</v>
      </c>
    </row>
    <row r="20" spans="1:28" ht="16" customHeight="1" x14ac:dyDescent="0.2">
      <c r="A20" s="142" t="str">
        <f t="shared" ref="A20" si="15">B18&amp;"3"</f>
        <v>Novak Djokovic3</v>
      </c>
      <c r="B20" s="189"/>
      <c r="C20" s="67" t="s">
        <v>4</v>
      </c>
      <c r="D20" s="3">
        <v>42</v>
      </c>
      <c r="E20" s="3">
        <v>176</v>
      </c>
      <c r="F20" s="8">
        <v>291</v>
      </c>
      <c r="G20" s="3">
        <v>-66</v>
      </c>
      <c r="H20" s="5">
        <v>132</v>
      </c>
      <c r="I20" s="8">
        <v>206</v>
      </c>
      <c r="J20" s="6">
        <v>495</v>
      </c>
      <c r="K20" s="8">
        <v>328</v>
      </c>
      <c r="L20" s="7">
        <v>439</v>
      </c>
      <c r="M20" s="6">
        <v>557</v>
      </c>
      <c r="N20" s="6">
        <v>552</v>
      </c>
      <c r="O20" s="3">
        <v>18</v>
      </c>
      <c r="P20" s="5">
        <v>103</v>
      </c>
      <c r="Q20" s="6">
        <v>499</v>
      </c>
      <c r="R20" s="6">
        <v>432</v>
      </c>
      <c r="S20" s="4"/>
      <c r="T20" s="6">
        <v>371</v>
      </c>
      <c r="U20" s="6">
        <v>407</v>
      </c>
      <c r="V20" s="7">
        <v>371</v>
      </c>
      <c r="W20" s="4"/>
      <c r="X20" s="4"/>
      <c r="Y20" s="4"/>
      <c r="Z20" s="4"/>
      <c r="AA20" s="11">
        <f>SUM(D20:Z20)</f>
        <v>5353</v>
      </c>
      <c r="AB20" s="13">
        <f>COUNT(D20:Z20)</f>
        <v>18</v>
      </c>
    </row>
    <row r="21" spans="1:28" ht="16" customHeight="1" x14ac:dyDescent="0.2">
      <c r="A21" s="142" t="str">
        <f t="shared" ref="A21" si="16">B18&amp;"4"</f>
        <v>Novak Djokovic4</v>
      </c>
      <c r="B21" s="189"/>
      <c r="C21" s="67" t="s">
        <v>5</v>
      </c>
      <c r="D21" s="3">
        <v>87</v>
      </c>
      <c r="E21" s="3">
        <v>26</v>
      </c>
      <c r="F21" s="7">
        <v>383</v>
      </c>
      <c r="G21" s="8">
        <v>287</v>
      </c>
      <c r="H21" s="8">
        <v>237</v>
      </c>
      <c r="I21" s="7">
        <v>393</v>
      </c>
      <c r="J21" s="6">
        <v>491</v>
      </c>
      <c r="K21" s="7">
        <v>399</v>
      </c>
      <c r="L21" s="7">
        <v>274</v>
      </c>
      <c r="M21" s="8">
        <v>263</v>
      </c>
      <c r="N21" s="6">
        <v>530</v>
      </c>
      <c r="O21" s="7">
        <v>315</v>
      </c>
      <c r="P21" s="4"/>
      <c r="Q21" s="6">
        <v>475</v>
      </c>
      <c r="R21" s="3">
        <v>45</v>
      </c>
      <c r="S21" s="3">
        <v>109</v>
      </c>
      <c r="T21" s="7">
        <v>266</v>
      </c>
      <c r="U21" s="4"/>
      <c r="V21" s="6">
        <v>350</v>
      </c>
      <c r="W21" s="4"/>
      <c r="AA21" s="11">
        <f>SUM(D21:Z21)</f>
        <v>4930</v>
      </c>
      <c r="AB21" s="13">
        <f>COUNT(D21:Z21)</f>
        <v>17</v>
      </c>
    </row>
    <row r="22" spans="1:28" ht="16" customHeight="1" x14ac:dyDescent="0.2">
      <c r="A22" s="142" t="str">
        <f t="shared" ref="A22" si="17">B18&amp;"5"</f>
        <v>Novak Djokovic5</v>
      </c>
      <c r="B22" s="189"/>
      <c r="C22" s="67">
        <f>SUM(D22:Z22)</f>
        <v>20812</v>
      </c>
      <c r="D22" s="10">
        <f>SUM(D18:D21)</f>
        <v>146</v>
      </c>
      <c r="E22" s="10">
        <f t="shared" ref="E22:Z22" si="18">SUM(E18:E21)</f>
        <v>439</v>
      </c>
      <c r="F22" s="10">
        <f t="shared" si="18"/>
        <v>843</v>
      </c>
      <c r="G22" s="10">
        <f t="shared" si="18"/>
        <v>855</v>
      </c>
      <c r="H22" s="10">
        <f t="shared" si="18"/>
        <v>382</v>
      </c>
      <c r="I22" s="10">
        <f t="shared" si="18"/>
        <v>769</v>
      </c>
      <c r="J22" s="10">
        <f t="shared" si="18"/>
        <v>1856</v>
      </c>
      <c r="K22" s="10">
        <f t="shared" si="18"/>
        <v>1434</v>
      </c>
      <c r="L22" s="10">
        <f t="shared" si="18"/>
        <v>1605</v>
      </c>
      <c r="M22" s="10">
        <f t="shared" si="18"/>
        <v>1443</v>
      </c>
      <c r="N22" s="10">
        <f t="shared" si="18"/>
        <v>1906</v>
      </c>
      <c r="O22" s="10">
        <f t="shared" si="18"/>
        <v>1332</v>
      </c>
      <c r="P22" s="10">
        <f t="shared" si="18"/>
        <v>272</v>
      </c>
      <c r="Q22" s="10">
        <f t="shared" si="18"/>
        <v>1190</v>
      </c>
      <c r="R22" s="4">
        <f t="shared" si="18"/>
        <v>1175</v>
      </c>
      <c r="S22" s="10">
        <f t="shared" si="18"/>
        <v>939</v>
      </c>
      <c r="T22" s="10">
        <f t="shared" si="18"/>
        <v>1518</v>
      </c>
      <c r="U22" s="10">
        <f t="shared" si="18"/>
        <v>561</v>
      </c>
      <c r="V22" s="10">
        <f t="shared" si="18"/>
        <v>1640</v>
      </c>
      <c r="W22" s="10">
        <f>SUM(W18:W21)</f>
        <v>507</v>
      </c>
      <c r="X22" s="11">
        <f t="shared" si="18"/>
        <v>0</v>
      </c>
      <c r="Y22" s="11">
        <f t="shared" si="18"/>
        <v>0</v>
      </c>
      <c r="Z22" s="11">
        <f t="shared" si="18"/>
        <v>0</v>
      </c>
      <c r="AA22" s="10"/>
    </row>
    <row r="23" spans="1:28" ht="16" customHeight="1" x14ac:dyDescent="0.2">
      <c r="A23" s="142" t="str">
        <f t="shared" ref="A23" si="19">B23&amp;"1"</f>
        <v>Bjorn Borg1</v>
      </c>
      <c r="B23" s="189" t="s">
        <v>19</v>
      </c>
      <c r="C23" s="67" t="s">
        <v>2</v>
      </c>
      <c r="D23" s="4"/>
      <c r="E23" s="3">
        <v>32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11">
        <f>SUM(D23:Z23)</f>
        <v>32</v>
      </c>
      <c r="AB23" s="13">
        <f>COUNT(D23:Z23)</f>
        <v>1</v>
      </c>
    </row>
    <row r="24" spans="1:28" ht="16" customHeight="1" x14ac:dyDescent="0.2">
      <c r="A24" s="142" t="str">
        <f t="shared" ref="A24" si="20">B23&amp;"2"</f>
        <v>Bjorn Borg2</v>
      </c>
      <c r="B24" s="189"/>
      <c r="C24" s="67" t="s">
        <v>3</v>
      </c>
      <c r="D24" s="3">
        <v>171</v>
      </c>
      <c r="E24" s="6">
        <v>349</v>
      </c>
      <c r="F24" s="6">
        <v>428</v>
      </c>
      <c r="G24" s="5">
        <v>134</v>
      </c>
      <c r="H24" s="4"/>
      <c r="I24" s="6">
        <v>484</v>
      </c>
      <c r="J24" s="6">
        <v>314</v>
      </c>
      <c r="K24" s="6">
        <v>469</v>
      </c>
      <c r="L24" s="6">
        <v>351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11">
        <f>SUM(D24:Z24)</f>
        <v>2700</v>
      </c>
      <c r="AB24" s="13">
        <f>COUNT(D24:Z24)</f>
        <v>8</v>
      </c>
    </row>
    <row r="25" spans="1:28" ht="16" customHeight="1" x14ac:dyDescent="0.2">
      <c r="A25" s="142" t="str">
        <f t="shared" ref="A25" si="21">B23&amp;"3"</f>
        <v>Bjorn Borg3</v>
      </c>
      <c r="B25" s="189"/>
      <c r="C25" s="67" t="s">
        <v>4</v>
      </c>
      <c r="D25" s="5">
        <v>91</v>
      </c>
      <c r="E25" s="3">
        <v>9</v>
      </c>
      <c r="F25" s="5">
        <v>184</v>
      </c>
      <c r="G25" s="6">
        <v>466</v>
      </c>
      <c r="H25" s="6">
        <v>572</v>
      </c>
      <c r="I25" s="6">
        <v>442</v>
      </c>
      <c r="J25" s="6">
        <v>539</v>
      </c>
      <c r="K25" s="6">
        <v>470</v>
      </c>
      <c r="L25" s="7">
        <v>519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11">
        <f>SUM(D25:Z25)</f>
        <v>3292</v>
      </c>
      <c r="AB25" s="13">
        <f>COUNT(D25:Z25)</f>
        <v>9</v>
      </c>
    </row>
    <row r="26" spans="1:28" ht="16" customHeight="1" x14ac:dyDescent="0.2">
      <c r="A26" s="142" t="str">
        <f t="shared" ref="A26" si="22">B23&amp;"4"</f>
        <v>Bjorn Borg4</v>
      </c>
      <c r="B26" s="189"/>
      <c r="C26" s="67" t="s">
        <v>5</v>
      </c>
      <c r="D26" s="3">
        <v>96</v>
      </c>
      <c r="E26" s="3">
        <v>-38</v>
      </c>
      <c r="F26" s="8">
        <v>317</v>
      </c>
      <c r="G26" s="7">
        <v>390</v>
      </c>
      <c r="H26" s="3">
        <v>3</v>
      </c>
      <c r="I26" s="7">
        <v>366</v>
      </c>
      <c r="J26" s="5">
        <v>81</v>
      </c>
      <c r="K26" s="7">
        <v>432</v>
      </c>
      <c r="L26" s="7">
        <v>306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AA26" s="11">
        <f>SUM(D26:Z26)</f>
        <v>1953</v>
      </c>
      <c r="AB26" s="13">
        <f>COUNT(D26:Z26)</f>
        <v>9</v>
      </c>
    </row>
    <row r="27" spans="1:28" ht="16" customHeight="1" x14ac:dyDescent="0.2">
      <c r="A27" s="142" t="str">
        <f t="shared" ref="A27" si="23">B23&amp;"5"</f>
        <v>Bjorn Borg5</v>
      </c>
      <c r="B27" s="189"/>
      <c r="C27" s="67">
        <f>SUM(D27:Z27)</f>
        <v>7977</v>
      </c>
      <c r="D27" s="11">
        <f>SUM(D23:D26)</f>
        <v>358</v>
      </c>
      <c r="E27" s="11">
        <f t="shared" ref="E27:Z27" si="24">SUM(E23:E26)</f>
        <v>352</v>
      </c>
      <c r="F27" s="11">
        <f t="shared" si="24"/>
        <v>929</v>
      </c>
      <c r="G27" s="11">
        <f t="shared" si="24"/>
        <v>990</v>
      </c>
      <c r="H27" s="11">
        <f t="shared" si="24"/>
        <v>575</v>
      </c>
      <c r="I27" s="11">
        <f t="shared" si="24"/>
        <v>1292</v>
      </c>
      <c r="J27" s="11">
        <f t="shared" si="24"/>
        <v>934</v>
      </c>
      <c r="K27" s="11">
        <f t="shared" si="24"/>
        <v>1371</v>
      </c>
      <c r="L27" s="11">
        <f t="shared" si="24"/>
        <v>1176</v>
      </c>
      <c r="M27" s="11">
        <f t="shared" si="24"/>
        <v>0</v>
      </c>
      <c r="N27" s="11">
        <f t="shared" si="24"/>
        <v>0</v>
      </c>
      <c r="O27" s="11">
        <f t="shared" si="24"/>
        <v>0</v>
      </c>
      <c r="P27" s="11">
        <f t="shared" si="24"/>
        <v>0</v>
      </c>
      <c r="Q27" s="11">
        <f t="shared" si="24"/>
        <v>0</v>
      </c>
      <c r="R27" s="4">
        <f t="shared" si="24"/>
        <v>0</v>
      </c>
      <c r="S27" s="11">
        <f t="shared" si="24"/>
        <v>0</v>
      </c>
      <c r="T27" s="11">
        <f t="shared" si="24"/>
        <v>0</v>
      </c>
      <c r="U27" s="11">
        <f t="shared" si="24"/>
        <v>0</v>
      </c>
      <c r="V27" s="11">
        <f t="shared" si="24"/>
        <v>0</v>
      </c>
      <c r="W27" s="11">
        <f t="shared" si="24"/>
        <v>0</v>
      </c>
      <c r="X27" s="11">
        <f t="shared" si="24"/>
        <v>0</v>
      </c>
      <c r="Y27" s="11">
        <f t="shared" si="24"/>
        <v>0</v>
      </c>
      <c r="Z27" s="11">
        <f t="shared" si="24"/>
        <v>0</v>
      </c>
      <c r="AA27" s="11"/>
    </row>
    <row r="28" spans="1:28" ht="16" customHeight="1" x14ac:dyDescent="0.2">
      <c r="A28" s="142" t="str">
        <f t="shared" ref="A28" si="25">B28&amp;"1"</f>
        <v>Jimmy Connors1</v>
      </c>
      <c r="B28" s="189" t="s">
        <v>47</v>
      </c>
      <c r="C28" s="67" t="s">
        <v>2</v>
      </c>
      <c r="D28" s="4"/>
      <c r="E28" s="4"/>
      <c r="F28" s="4"/>
      <c r="G28" s="4"/>
      <c r="H28" s="6">
        <v>254</v>
      </c>
      <c r="I28" s="7">
        <v>147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11">
        <f>SUM(D28:Z28)</f>
        <v>401</v>
      </c>
      <c r="AB28" s="13">
        <f>COUNT(D28:Z28)</f>
        <v>2</v>
      </c>
    </row>
    <row r="29" spans="1:28" ht="16" customHeight="1" x14ac:dyDescent="0.2">
      <c r="A29" s="142" t="str">
        <f t="shared" ref="A29" si="26">B28&amp;"2"</f>
        <v>Jimmy Connors2</v>
      </c>
      <c r="B29" s="189"/>
      <c r="C29" s="67" t="s">
        <v>3</v>
      </c>
      <c r="D29" s="4"/>
      <c r="E29" s="4"/>
      <c r="F29" s="3">
        <v>-40</v>
      </c>
      <c r="G29" s="3">
        <v>-50</v>
      </c>
      <c r="H29" s="4"/>
      <c r="I29" s="4"/>
      <c r="J29" s="4"/>
      <c r="K29" s="4"/>
      <c r="L29" s="4"/>
      <c r="M29" s="8">
        <v>278</v>
      </c>
      <c r="N29" s="8">
        <v>245</v>
      </c>
      <c r="O29" s="5">
        <v>130</v>
      </c>
      <c r="P29" s="5">
        <v>171</v>
      </c>
      <c r="Q29" s="5">
        <v>155</v>
      </c>
      <c r="R29" s="8">
        <v>180</v>
      </c>
      <c r="S29" s="8">
        <v>223</v>
      </c>
      <c r="T29" s="4"/>
      <c r="U29" s="5">
        <v>12</v>
      </c>
      <c r="V29" s="4"/>
      <c r="W29" s="3">
        <v>10</v>
      </c>
      <c r="X29" s="4"/>
      <c r="Y29" s="3">
        <v>95</v>
      </c>
      <c r="Z29" s="3">
        <v>-4</v>
      </c>
      <c r="AA29" s="11">
        <f>SUM(D29:Z29)</f>
        <v>1405</v>
      </c>
      <c r="AB29" s="13">
        <f>COUNT(D29:Z29)</f>
        <v>13</v>
      </c>
    </row>
    <row r="30" spans="1:28" ht="16" customHeight="1" x14ac:dyDescent="0.2">
      <c r="A30" s="142" t="str">
        <f t="shared" ref="A30" si="27">B28&amp;"3"</f>
        <v>Jimmy Connors3</v>
      </c>
      <c r="B30" s="189"/>
      <c r="C30" s="67" t="s">
        <v>4</v>
      </c>
      <c r="D30" s="4"/>
      <c r="E30" s="4"/>
      <c r="F30" s="5">
        <v>262</v>
      </c>
      <c r="G30" s="5">
        <v>10</v>
      </c>
      <c r="H30" s="6">
        <v>563</v>
      </c>
      <c r="I30" s="7">
        <v>416</v>
      </c>
      <c r="J30" s="5">
        <v>91</v>
      </c>
      <c r="K30" s="7">
        <v>320</v>
      </c>
      <c r="L30" s="7">
        <v>435</v>
      </c>
      <c r="M30" s="8">
        <v>256</v>
      </c>
      <c r="N30" s="8">
        <v>257</v>
      </c>
      <c r="O30" s="8">
        <v>251</v>
      </c>
      <c r="P30" s="6">
        <v>466</v>
      </c>
      <c r="Q30" s="3">
        <v>85</v>
      </c>
      <c r="R30" s="7">
        <v>236</v>
      </c>
      <c r="S30" s="8">
        <v>149</v>
      </c>
      <c r="T30" s="3">
        <v>-27</v>
      </c>
      <c r="U30" s="8">
        <v>204</v>
      </c>
      <c r="V30" s="3">
        <v>-74</v>
      </c>
      <c r="W30" s="3">
        <v>-9</v>
      </c>
      <c r="X30" s="4"/>
      <c r="Y30" s="3">
        <v>59</v>
      </c>
      <c r="Z30" s="3">
        <v>-86</v>
      </c>
      <c r="AA30" s="11">
        <f>SUM(D30:Z30)</f>
        <v>3864</v>
      </c>
      <c r="AB30" s="13">
        <f>COUNT(D30:Z30)</f>
        <v>20</v>
      </c>
    </row>
    <row r="31" spans="1:28" ht="16" customHeight="1" x14ac:dyDescent="0.2">
      <c r="A31" s="142" t="str">
        <f t="shared" ref="A31" si="28">B28&amp;"4"</f>
        <v>Jimmy Connors4</v>
      </c>
      <c r="B31" s="189"/>
      <c r="C31" s="67" t="s">
        <v>5</v>
      </c>
      <c r="D31" s="3">
        <v>-18</v>
      </c>
      <c r="E31" s="3">
        <v>-43</v>
      </c>
      <c r="F31" s="3">
        <v>-15</v>
      </c>
      <c r="G31" s="5">
        <v>206</v>
      </c>
      <c r="H31" s="6">
        <v>557</v>
      </c>
      <c r="I31" s="7">
        <v>389</v>
      </c>
      <c r="J31" s="6">
        <v>448</v>
      </c>
      <c r="K31" s="7">
        <v>363</v>
      </c>
      <c r="L31" s="6">
        <v>492</v>
      </c>
      <c r="M31" s="8">
        <v>272</v>
      </c>
      <c r="N31" s="8">
        <v>249</v>
      </c>
      <c r="O31" s="8">
        <v>169</v>
      </c>
      <c r="P31" s="6">
        <v>450</v>
      </c>
      <c r="Q31" s="6">
        <v>476</v>
      </c>
      <c r="R31" s="8">
        <v>280</v>
      </c>
      <c r="S31" s="8">
        <v>226</v>
      </c>
      <c r="T31" s="3">
        <v>-70</v>
      </c>
      <c r="U31" s="8">
        <v>237</v>
      </c>
      <c r="V31" s="5">
        <v>41</v>
      </c>
      <c r="W31" s="5">
        <v>173</v>
      </c>
      <c r="Y31" s="8">
        <v>280</v>
      </c>
      <c r="Z31" s="3">
        <v>38</v>
      </c>
      <c r="AA31" s="11">
        <f>SUM(D31:Z31)</f>
        <v>5200</v>
      </c>
      <c r="AB31" s="13">
        <f>COUNT(D31:Z31)</f>
        <v>22</v>
      </c>
    </row>
    <row r="32" spans="1:28" ht="16" customHeight="1" x14ac:dyDescent="0.2">
      <c r="A32" s="142" t="str">
        <f t="shared" ref="A32" si="29">B28&amp;"5"</f>
        <v>Jimmy Connors5</v>
      </c>
      <c r="B32" s="189"/>
      <c r="C32" s="67">
        <f>SUM(D32:Z32)</f>
        <v>10870</v>
      </c>
      <c r="D32" s="11">
        <f>SUM(D28:D31)</f>
        <v>-18</v>
      </c>
      <c r="E32" s="11">
        <f t="shared" ref="E32:Z32" si="30">SUM(E28:E31)</f>
        <v>-43</v>
      </c>
      <c r="F32" s="11">
        <f t="shared" si="30"/>
        <v>207</v>
      </c>
      <c r="G32" s="11">
        <f t="shared" si="30"/>
        <v>166</v>
      </c>
      <c r="H32" s="11">
        <f t="shared" si="30"/>
        <v>1374</v>
      </c>
      <c r="I32" s="11">
        <f t="shared" si="30"/>
        <v>952</v>
      </c>
      <c r="J32" s="11">
        <f t="shared" si="30"/>
        <v>539</v>
      </c>
      <c r="K32" s="11">
        <f t="shared" si="30"/>
        <v>683</v>
      </c>
      <c r="L32" s="11">
        <f t="shared" si="30"/>
        <v>927</v>
      </c>
      <c r="M32" s="11">
        <f t="shared" si="30"/>
        <v>806</v>
      </c>
      <c r="N32" s="11">
        <f t="shared" si="30"/>
        <v>751</v>
      </c>
      <c r="O32" s="11">
        <f t="shared" si="30"/>
        <v>550</v>
      </c>
      <c r="P32" s="11">
        <f t="shared" si="30"/>
        <v>1087</v>
      </c>
      <c r="Q32" s="11">
        <f t="shared" si="30"/>
        <v>716</v>
      </c>
      <c r="R32" s="4">
        <f t="shared" si="30"/>
        <v>696</v>
      </c>
      <c r="S32" s="11">
        <f t="shared" si="30"/>
        <v>598</v>
      </c>
      <c r="T32" s="11">
        <f t="shared" si="30"/>
        <v>-97</v>
      </c>
      <c r="U32" s="11">
        <f t="shared" si="30"/>
        <v>453</v>
      </c>
      <c r="V32" s="11">
        <f t="shared" si="30"/>
        <v>-33</v>
      </c>
      <c r="W32" s="11">
        <f t="shared" si="30"/>
        <v>174</v>
      </c>
      <c r="X32" s="11">
        <f t="shared" si="30"/>
        <v>0</v>
      </c>
      <c r="Y32" s="11">
        <f t="shared" si="30"/>
        <v>434</v>
      </c>
      <c r="Z32" s="11">
        <f t="shared" si="30"/>
        <v>-52</v>
      </c>
      <c r="AA32" s="11"/>
    </row>
    <row r="33" spans="1:28" ht="16" customHeight="1" x14ac:dyDescent="0.2">
      <c r="A33" s="142" t="str">
        <f t="shared" ref="A33" si="31">B33&amp;"1"</f>
        <v>Ivan Lendl1</v>
      </c>
      <c r="B33" s="189" t="s">
        <v>56</v>
      </c>
      <c r="C33" s="67" t="s">
        <v>2</v>
      </c>
      <c r="D33" s="4"/>
      <c r="E33" s="4"/>
      <c r="F33" s="3">
        <v>42</v>
      </c>
      <c r="G33" s="4"/>
      <c r="H33" s="4"/>
      <c r="I33" s="7">
        <v>341</v>
      </c>
      <c r="J33" s="3">
        <v>126</v>
      </c>
      <c r="K33" s="8">
        <v>133</v>
      </c>
      <c r="L33" s="4"/>
      <c r="M33" s="8">
        <v>141</v>
      </c>
      <c r="N33" s="8">
        <v>151</v>
      </c>
      <c r="O33" s="6">
        <v>444</v>
      </c>
      <c r="P33" s="6">
        <v>365</v>
      </c>
      <c r="Q33" s="7">
        <v>371</v>
      </c>
      <c r="R33" s="5">
        <v>134</v>
      </c>
      <c r="S33" s="3">
        <v>-62</v>
      </c>
      <c r="T33" s="3">
        <v>179</v>
      </c>
      <c r="U33" s="4"/>
      <c r="V33" s="4"/>
      <c r="W33" s="4"/>
      <c r="X33" s="4"/>
      <c r="Y33" s="4"/>
      <c r="Z33" s="4"/>
      <c r="AA33" s="13">
        <f>SUM(D33:Z33)</f>
        <v>2365</v>
      </c>
      <c r="AB33" s="13">
        <f>COUNT(D33:Z33)</f>
        <v>12</v>
      </c>
    </row>
    <row r="34" spans="1:28" ht="16" customHeight="1" x14ac:dyDescent="0.2">
      <c r="A34" s="142" t="str">
        <f t="shared" ref="A34" si="32">B33&amp;"2"</f>
        <v>Ivan Lendl2</v>
      </c>
      <c r="B34" s="189"/>
      <c r="C34" s="67" t="s">
        <v>3</v>
      </c>
      <c r="D34" s="3">
        <v>-99</v>
      </c>
      <c r="E34" s="3">
        <v>125</v>
      </c>
      <c r="F34" s="3">
        <v>23</v>
      </c>
      <c r="G34" s="7">
        <v>419</v>
      </c>
      <c r="H34" s="3">
        <v>38</v>
      </c>
      <c r="I34" s="5">
        <v>138</v>
      </c>
      <c r="J34" s="6">
        <v>514</v>
      </c>
      <c r="K34" s="7">
        <v>334</v>
      </c>
      <c r="L34" s="6">
        <v>398</v>
      </c>
      <c r="M34" s="6">
        <v>543</v>
      </c>
      <c r="N34" s="5">
        <v>117</v>
      </c>
      <c r="O34" s="3">
        <v>166</v>
      </c>
      <c r="P34" s="4"/>
      <c r="Q34" s="4"/>
      <c r="R34" s="3">
        <v>7</v>
      </c>
      <c r="S34" s="3">
        <v>-99</v>
      </c>
      <c r="T34" s="3">
        <v>-17</v>
      </c>
      <c r="U34" s="4"/>
      <c r="V34" s="4"/>
      <c r="W34" s="4"/>
      <c r="X34" s="4"/>
      <c r="Y34" s="4"/>
      <c r="Z34" s="4"/>
      <c r="AA34" s="13">
        <f>SUM(D34:Z34)</f>
        <v>2607</v>
      </c>
      <c r="AB34" s="13">
        <f>COUNT(D34:Z34)</f>
        <v>15</v>
      </c>
    </row>
    <row r="35" spans="1:28" ht="16" customHeight="1" x14ac:dyDescent="0.2">
      <c r="A35" s="142" t="str">
        <f t="shared" ref="A35" si="33">B33&amp;"3"</f>
        <v>Ivan Lendl3</v>
      </c>
      <c r="B35" s="189"/>
      <c r="C35" s="67" t="s">
        <v>4</v>
      </c>
      <c r="D35" s="4"/>
      <c r="E35" s="3">
        <v>-46</v>
      </c>
      <c r="F35" s="3">
        <v>44</v>
      </c>
      <c r="G35" s="3">
        <v>-99</v>
      </c>
      <c r="H35" s="4"/>
      <c r="I35" s="8">
        <v>105</v>
      </c>
      <c r="J35" s="8">
        <v>199</v>
      </c>
      <c r="K35" s="3">
        <v>69</v>
      </c>
      <c r="L35" s="7">
        <v>315</v>
      </c>
      <c r="M35" s="7">
        <v>327</v>
      </c>
      <c r="N35" s="8">
        <v>261</v>
      </c>
      <c r="O35" s="8">
        <v>110</v>
      </c>
      <c r="P35" s="8">
        <v>122</v>
      </c>
      <c r="Q35" s="3">
        <v>13</v>
      </c>
      <c r="R35" s="3">
        <v>0</v>
      </c>
      <c r="S35" s="3">
        <v>-23</v>
      </c>
      <c r="T35" s="4"/>
      <c r="U35" s="4"/>
      <c r="V35" s="4"/>
      <c r="W35" s="4"/>
      <c r="X35" s="4"/>
      <c r="Y35" s="4"/>
      <c r="Z35" s="4"/>
      <c r="AA35" s="13">
        <f>SUM(D35:Z35)</f>
        <v>1397</v>
      </c>
      <c r="AB35" s="13">
        <f>COUNT(D35:Z35)</f>
        <v>14</v>
      </c>
    </row>
    <row r="36" spans="1:28" ht="16" customHeight="1" x14ac:dyDescent="0.2">
      <c r="A36" s="142" t="str">
        <f t="shared" ref="A36" si="34">B33&amp;"4"</f>
        <v>Ivan Lendl4</v>
      </c>
      <c r="B36" s="189"/>
      <c r="C36" s="67" t="s">
        <v>5</v>
      </c>
      <c r="D36" s="4"/>
      <c r="E36" s="3">
        <v>52</v>
      </c>
      <c r="F36" s="5">
        <v>104</v>
      </c>
      <c r="G36" s="3">
        <v>13</v>
      </c>
      <c r="H36" s="7">
        <v>384</v>
      </c>
      <c r="I36" s="7">
        <v>397</v>
      </c>
      <c r="J36" s="7">
        <v>378</v>
      </c>
      <c r="K36" s="6">
        <v>401</v>
      </c>
      <c r="L36" s="6">
        <v>536</v>
      </c>
      <c r="M36" s="6">
        <v>473</v>
      </c>
      <c r="N36" s="7">
        <v>389</v>
      </c>
      <c r="O36" s="7">
        <v>432</v>
      </c>
      <c r="P36" s="5">
        <v>88</v>
      </c>
      <c r="Q36" s="8">
        <v>336</v>
      </c>
      <c r="R36" s="5">
        <v>210</v>
      </c>
      <c r="S36" s="3">
        <v>-99</v>
      </c>
      <c r="T36" s="3">
        <v>-40</v>
      </c>
      <c r="U36" s="4"/>
      <c r="V36" s="4"/>
      <c r="W36" s="4"/>
      <c r="X36" s="4"/>
      <c r="Y36" s="4"/>
      <c r="Z36" s="4"/>
      <c r="AA36" s="13">
        <f>SUM(D36:Z36)</f>
        <v>4054</v>
      </c>
      <c r="AB36" s="13">
        <f>COUNT(D36:Z36)</f>
        <v>16</v>
      </c>
    </row>
    <row r="37" spans="1:28" ht="16" customHeight="1" x14ac:dyDescent="0.2">
      <c r="A37" s="142" t="str">
        <f t="shared" ref="A37" si="35">B33&amp;"5"</f>
        <v>Ivan Lendl5</v>
      </c>
      <c r="B37" s="189"/>
      <c r="C37" s="67">
        <f>SUM(D37:Z37)</f>
        <v>10423</v>
      </c>
      <c r="D37" s="13">
        <f>SUM(D33:D36)</f>
        <v>-99</v>
      </c>
      <c r="E37" s="13">
        <f t="shared" ref="E37:Z37" si="36">SUM(E33:E36)</f>
        <v>131</v>
      </c>
      <c r="F37" s="13">
        <f t="shared" si="36"/>
        <v>213</v>
      </c>
      <c r="G37" s="13">
        <f t="shared" si="36"/>
        <v>333</v>
      </c>
      <c r="H37" s="13">
        <f t="shared" si="36"/>
        <v>422</v>
      </c>
      <c r="I37" s="13">
        <f t="shared" si="36"/>
        <v>981</v>
      </c>
      <c r="J37" s="13">
        <f t="shared" si="36"/>
        <v>1217</v>
      </c>
      <c r="K37" s="13">
        <f t="shared" si="36"/>
        <v>937</v>
      </c>
      <c r="L37" s="13">
        <f t="shared" si="36"/>
        <v>1249</v>
      </c>
      <c r="M37" s="13">
        <f t="shared" si="36"/>
        <v>1484</v>
      </c>
      <c r="N37" s="13">
        <f t="shared" si="36"/>
        <v>918</v>
      </c>
      <c r="O37" s="13">
        <f t="shared" si="36"/>
        <v>1152</v>
      </c>
      <c r="P37" s="13">
        <f t="shared" si="36"/>
        <v>575</v>
      </c>
      <c r="Q37" s="13">
        <f t="shared" si="36"/>
        <v>720</v>
      </c>
      <c r="R37" s="4">
        <f t="shared" si="36"/>
        <v>351</v>
      </c>
      <c r="S37" s="13">
        <f t="shared" si="36"/>
        <v>-283</v>
      </c>
      <c r="T37" s="13">
        <f t="shared" si="36"/>
        <v>122</v>
      </c>
      <c r="U37" s="13">
        <f t="shared" si="36"/>
        <v>0</v>
      </c>
      <c r="V37" s="13">
        <f t="shared" si="36"/>
        <v>0</v>
      </c>
      <c r="W37" s="13">
        <f t="shared" si="36"/>
        <v>0</v>
      </c>
      <c r="X37" s="13">
        <f t="shared" si="36"/>
        <v>0</v>
      </c>
      <c r="Y37" s="13">
        <f t="shared" si="36"/>
        <v>0</v>
      </c>
      <c r="Z37" s="13">
        <f t="shared" si="36"/>
        <v>0</v>
      </c>
      <c r="AA37" s="13"/>
    </row>
    <row r="38" spans="1:28" ht="16" customHeight="1" x14ac:dyDescent="0.2">
      <c r="A38" s="142" t="str">
        <f t="shared" ref="A38" si="37">B38&amp;"1"</f>
        <v>Andre Agassi1</v>
      </c>
      <c r="B38" s="189" t="s">
        <v>62</v>
      </c>
      <c r="C38" s="67" t="s">
        <v>2</v>
      </c>
      <c r="D38" s="4"/>
      <c r="E38" s="4"/>
      <c r="F38" s="4"/>
      <c r="G38" s="4"/>
      <c r="H38" s="4"/>
      <c r="I38" s="4"/>
      <c r="J38" s="4"/>
      <c r="K38" s="4"/>
      <c r="L38" s="4"/>
      <c r="M38" s="6">
        <v>376</v>
      </c>
      <c r="N38" s="8">
        <v>181</v>
      </c>
      <c r="O38" s="4"/>
      <c r="P38" s="3">
        <v>99</v>
      </c>
      <c r="Q38" s="3">
        <v>24</v>
      </c>
      <c r="R38" s="6">
        <v>509</v>
      </c>
      <c r="S38" s="6">
        <v>423</v>
      </c>
      <c r="T38" s="4"/>
      <c r="U38" s="6">
        <v>438</v>
      </c>
      <c r="V38" s="8">
        <v>118</v>
      </c>
      <c r="W38" s="5">
        <v>232</v>
      </c>
      <c r="X38" s="4"/>
      <c r="Y38" s="4"/>
      <c r="Z38" s="4"/>
      <c r="AA38" s="15">
        <f>SUM(D38:Z38)</f>
        <v>2400</v>
      </c>
      <c r="AB38" s="15">
        <f>COUNT(D38:Z38)</f>
        <v>9</v>
      </c>
    </row>
    <row r="39" spans="1:28" ht="16" customHeight="1" x14ac:dyDescent="0.2">
      <c r="A39" s="142" t="str">
        <f t="shared" ref="A39" si="38">B38&amp;"2"</f>
        <v>Andre Agassi2</v>
      </c>
      <c r="B39" s="189"/>
      <c r="C39" s="67" t="s">
        <v>3</v>
      </c>
      <c r="D39" s="4"/>
      <c r="E39" s="3">
        <v>-91</v>
      </c>
      <c r="F39" s="8">
        <v>180</v>
      </c>
      <c r="G39" s="3">
        <v>12</v>
      </c>
      <c r="H39" s="7">
        <v>281</v>
      </c>
      <c r="I39" s="7">
        <v>354</v>
      </c>
      <c r="J39" s="8">
        <v>309</v>
      </c>
      <c r="K39" s="4"/>
      <c r="L39" s="3">
        <v>-10</v>
      </c>
      <c r="M39" s="5">
        <v>129</v>
      </c>
      <c r="N39" s="3">
        <v>-71</v>
      </c>
      <c r="O39" s="4"/>
      <c r="P39" s="3">
        <v>-99</v>
      </c>
      <c r="Q39" s="6">
        <v>300</v>
      </c>
      <c r="R39" s="3">
        <v>-39</v>
      </c>
      <c r="S39" s="5">
        <v>192</v>
      </c>
      <c r="T39" s="5">
        <v>112</v>
      </c>
      <c r="U39" s="5">
        <v>152</v>
      </c>
      <c r="V39" s="3">
        <v>-99</v>
      </c>
      <c r="W39" s="3">
        <v>-95</v>
      </c>
      <c r="X39" s="4"/>
      <c r="Y39" s="4"/>
      <c r="Z39" s="4"/>
      <c r="AA39" s="15">
        <f>SUM(D39:Z39)</f>
        <v>1517</v>
      </c>
      <c r="AB39" s="15">
        <f>COUNT(D39:Z39)</f>
        <v>17</v>
      </c>
    </row>
    <row r="40" spans="1:28" ht="16" customHeight="1" x14ac:dyDescent="0.2">
      <c r="A40" s="142" t="str">
        <f t="shared" ref="A40" si="39">B38&amp;"3"</f>
        <v>Andre Agassi3</v>
      </c>
      <c r="B40" s="189"/>
      <c r="C40" s="67" t="s">
        <v>4</v>
      </c>
      <c r="D40" s="4"/>
      <c r="E40" s="3">
        <v>-9</v>
      </c>
      <c r="F40" s="4"/>
      <c r="G40" s="4"/>
      <c r="H40" s="4"/>
      <c r="I40" s="5">
        <v>147</v>
      </c>
      <c r="J40" s="6">
        <v>458</v>
      </c>
      <c r="K40" s="5">
        <v>167</v>
      </c>
      <c r="L40" s="3">
        <v>132</v>
      </c>
      <c r="M40" s="8">
        <v>205</v>
      </c>
      <c r="N40" s="3">
        <v>-99</v>
      </c>
      <c r="O40" s="4"/>
      <c r="P40" s="3">
        <v>-27</v>
      </c>
      <c r="Q40" s="7">
        <v>331</v>
      </c>
      <c r="R40" s="8">
        <v>210</v>
      </c>
      <c r="S40" s="8">
        <v>193</v>
      </c>
      <c r="T40" s="3">
        <v>-66</v>
      </c>
      <c r="U40" s="3">
        <v>38</v>
      </c>
      <c r="V40" s="4"/>
      <c r="W40" s="4"/>
      <c r="X40" s="3">
        <v>59</v>
      </c>
      <c r="Y40" s="4"/>
      <c r="Z40" s="4"/>
      <c r="AA40" s="15">
        <f>SUM(D40:Z40)</f>
        <v>1739</v>
      </c>
      <c r="AB40" s="15">
        <f>COUNT(D40:Z40)</f>
        <v>14</v>
      </c>
    </row>
    <row r="41" spans="1:28" ht="16" customHeight="1" x14ac:dyDescent="0.2">
      <c r="A41" s="142" t="str">
        <f t="shared" ref="A41" si="40">B38&amp;"4"</f>
        <v>Andre Agassi4</v>
      </c>
      <c r="B41" s="189"/>
      <c r="C41" s="67" t="s">
        <v>5</v>
      </c>
      <c r="D41" s="3">
        <v>-99</v>
      </c>
      <c r="E41" s="3">
        <v>-11</v>
      </c>
      <c r="F41" s="8">
        <v>200</v>
      </c>
      <c r="G41" s="8">
        <v>110</v>
      </c>
      <c r="H41" s="7">
        <v>379</v>
      </c>
      <c r="I41" s="3">
        <v>-47</v>
      </c>
      <c r="J41" s="5">
        <v>186</v>
      </c>
      <c r="K41" s="3">
        <v>-61</v>
      </c>
      <c r="L41" s="6">
        <v>508</v>
      </c>
      <c r="M41" s="7">
        <v>360</v>
      </c>
      <c r="N41" s="8">
        <v>189</v>
      </c>
      <c r="O41" s="3">
        <v>46</v>
      </c>
      <c r="P41" s="3">
        <v>121</v>
      </c>
      <c r="Q41" s="6">
        <v>304</v>
      </c>
      <c r="R41" s="3">
        <v>-36</v>
      </c>
      <c r="S41" s="5">
        <v>103</v>
      </c>
      <c r="T41" s="7">
        <v>226</v>
      </c>
      <c r="U41" s="8">
        <v>221</v>
      </c>
      <c r="V41" s="5">
        <v>246</v>
      </c>
      <c r="W41" s="7">
        <v>272</v>
      </c>
      <c r="X41" s="3">
        <v>18</v>
      </c>
      <c r="Y41" s="4"/>
      <c r="Z41" s="4"/>
      <c r="AA41" s="15">
        <f>SUM(D41:Z41)</f>
        <v>3235</v>
      </c>
      <c r="AB41" s="15">
        <f>COUNT(D41:Z41)</f>
        <v>21</v>
      </c>
    </row>
    <row r="42" spans="1:28" ht="16" customHeight="1" x14ac:dyDescent="0.2">
      <c r="A42" s="142" t="str">
        <f t="shared" ref="A42" si="41">B38&amp;"5"</f>
        <v>Andre Agassi5</v>
      </c>
      <c r="B42" s="189"/>
      <c r="C42" s="67">
        <f>SUM(D42:Z42)</f>
        <v>8891</v>
      </c>
      <c r="D42" s="15">
        <f>SUM(D38:D41)</f>
        <v>-99</v>
      </c>
      <c r="E42" s="15">
        <f t="shared" ref="E42:Z42" si="42">SUM(E38:E41)</f>
        <v>-111</v>
      </c>
      <c r="F42" s="15">
        <f t="shared" si="42"/>
        <v>380</v>
      </c>
      <c r="G42" s="15">
        <f t="shared" si="42"/>
        <v>122</v>
      </c>
      <c r="H42" s="15">
        <f t="shared" si="42"/>
        <v>660</v>
      </c>
      <c r="I42" s="15">
        <f t="shared" si="42"/>
        <v>454</v>
      </c>
      <c r="J42" s="15">
        <f t="shared" si="42"/>
        <v>953</v>
      </c>
      <c r="K42" s="15">
        <f t="shared" si="42"/>
        <v>106</v>
      </c>
      <c r="L42" s="15">
        <f t="shared" si="42"/>
        <v>630</v>
      </c>
      <c r="M42" s="15">
        <f t="shared" si="42"/>
        <v>1070</v>
      </c>
      <c r="N42" s="15">
        <f t="shared" si="42"/>
        <v>200</v>
      </c>
      <c r="O42" s="15">
        <f t="shared" si="42"/>
        <v>46</v>
      </c>
      <c r="P42" s="15">
        <f t="shared" si="42"/>
        <v>94</v>
      </c>
      <c r="Q42" s="15">
        <f t="shared" si="42"/>
        <v>959</v>
      </c>
      <c r="R42" s="4">
        <f t="shared" si="42"/>
        <v>644</v>
      </c>
      <c r="S42" s="15">
        <f t="shared" si="42"/>
        <v>911</v>
      </c>
      <c r="T42" s="15">
        <f t="shared" si="42"/>
        <v>272</v>
      </c>
      <c r="U42" s="15">
        <f t="shared" si="42"/>
        <v>849</v>
      </c>
      <c r="V42" s="15">
        <f t="shared" si="42"/>
        <v>265</v>
      </c>
      <c r="W42" s="15">
        <f t="shared" si="42"/>
        <v>409</v>
      </c>
      <c r="X42" s="15">
        <f t="shared" si="42"/>
        <v>77</v>
      </c>
      <c r="Y42" s="15">
        <f t="shared" si="42"/>
        <v>0</v>
      </c>
      <c r="Z42" s="15">
        <f t="shared" si="42"/>
        <v>0</v>
      </c>
      <c r="AA42" s="15"/>
      <c r="AB42" s="15"/>
    </row>
    <row r="43" spans="1:28" s="38" customFormat="1" ht="16" customHeight="1" x14ac:dyDescent="0.2">
      <c r="A43" s="142" t="str">
        <f t="shared" ref="A43" si="43">B43&amp;"1"</f>
        <v>John McEnroe1</v>
      </c>
      <c r="B43" s="189" t="s">
        <v>69</v>
      </c>
      <c r="C43" s="67" t="s">
        <v>2</v>
      </c>
      <c r="D43" s="4"/>
      <c r="E43" s="4"/>
      <c r="F43" s="4"/>
      <c r="G43" s="4"/>
      <c r="H43" s="4"/>
      <c r="I43" s="4"/>
      <c r="J43" s="8">
        <v>131</v>
      </c>
      <c r="K43" s="4"/>
      <c r="L43" s="5">
        <v>65</v>
      </c>
      <c r="M43" s="4"/>
      <c r="N43" s="4"/>
      <c r="O43" s="4"/>
      <c r="P43" s="5">
        <v>138</v>
      </c>
      <c r="Q43" s="3">
        <v>6</v>
      </c>
      <c r="R43" s="4"/>
      <c r="S43" s="5">
        <v>228</v>
      </c>
      <c r="T43" s="4"/>
      <c r="U43" s="4"/>
      <c r="V43" s="4"/>
      <c r="W43" s="4"/>
      <c r="X43" s="4"/>
      <c r="Y43" s="4"/>
      <c r="Z43" s="4"/>
      <c r="AA43" s="38">
        <f>SUM(D43:Z43)</f>
        <v>568</v>
      </c>
      <c r="AB43" s="38">
        <f>COUNT(D43:Z43)</f>
        <v>5</v>
      </c>
    </row>
    <row r="44" spans="1:28" s="38" customFormat="1" ht="16" customHeight="1" x14ac:dyDescent="0.2">
      <c r="A44" s="142" t="str">
        <f t="shared" ref="A44" si="44">B43&amp;"2"</f>
        <v>John McEnroe2</v>
      </c>
      <c r="B44" s="189"/>
      <c r="C44" s="67" t="s">
        <v>3</v>
      </c>
      <c r="D44" s="3">
        <v>-22</v>
      </c>
      <c r="E44" s="4"/>
      <c r="F44" s="4"/>
      <c r="G44" s="3">
        <v>0</v>
      </c>
      <c r="H44" s="5">
        <v>148</v>
      </c>
      <c r="I44" s="4"/>
      <c r="J44" s="5">
        <v>118</v>
      </c>
      <c r="K44" s="7">
        <v>425</v>
      </c>
      <c r="L44" s="8">
        <v>200</v>
      </c>
      <c r="M44" s="4"/>
      <c r="N44" s="3">
        <v>-49</v>
      </c>
      <c r="O44" s="3">
        <v>37</v>
      </c>
      <c r="P44" s="4"/>
      <c r="Q44" s="4"/>
      <c r="R44" s="3">
        <v>-17</v>
      </c>
      <c r="S44" s="3">
        <v>-94</v>
      </c>
      <c r="T44" s="4"/>
      <c r="U44" s="4"/>
      <c r="V44" s="4"/>
      <c r="W44" s="4"/>
      <c r="X44" s="4"/>
      <c r="Y44" s="4"/>
      <c r="Z44" s="4"/>
      <c r="AA44" s="38">
        <f>SUM(D44:Z44)</f>
        <v>746</v>
      </c>
      <c r="AB44" s="38">
        <f>COUNT(D44:Z44)</f>
        <v>10</v>
      </c>
    </row>
    <row r="45" spans="1:28" s="38" customFormat="1" ht="16" customHeight="1" x14ac:dyDescent="0.2">
      <c r="A45" s="142" t="str">
        <f t="shared" ref="A45" si="45">B43&amp;"3"</f>
        <v>John McEnroe3</v>
      </c>
      <c r="B45" s="189"/>
      <c r="C45" s="67" t="s">
        <v>4</v>
      </c>
      <c r="D45" s="8">
        <v>252</v>
      </c>
      <c r="E45" s="3">
        <v>-99</v>
      </c>
      <c r="F45" s="3">
        <v>131</v>
      </c>
      <c r="G45" s="7">
        <v>276</v>
      </c>
      <c r="H45" s="6">
        <v>540</v>
      </c>
      <c r="I45" s="7">
        <v>350</v>
      </c>
      <c r="J45" s="6">
        <v>359</v>
      </c>
      <c r="K45" s="6">
        <v>454</v>
      </c>
      <c r="L45" s="5">
        <v>6</v>
      </c>
      <c r="M45" s="4"/>
      <c r="N45" s="4"/>
      <c r="O45" s="3">
        <v>-37</v>
      </c>
      <c r="P45" s="8">
        <v>271</v>
      </c>
      <c r="Q45" s="3">
        <v>-99</v>
      </c>
      <c r="R45" s="3">
        <v>37</v>
      </c>
      <c r="S45" s="8">
        <v>209</v>
      </c>
      <c r="T45" s="4"/>
      <c r="U45" s="4"/>
      <c r="V45" s="4"/>
      <c r="W45" s="4"/>
      <c r="X45" s="4"/>
      <c r="Y45" s="4"/>
      <c r="Z45" s="4"/>
      <c r="AA45" s="38">
        <f>SUM(D45:Z45)</f>
        <v>2650</v>
      </c>
      <c r="AB45" s="38">
        <f>COUNT(D45:Z45)</f>
        <v>14</v>
      </c>
    </row>
    <row r="46" spans="1:28" s="38" customFormat="1" ht="16" customHeight="1" x14ac:dyDescent="0.2">
      <c r="A46" s="142" t="str">
        <f t="shared" ref="A46" si="46">B43&amp;"4"</f>
        <v>John McEnroe4</v>
      </c>
      <c r="B46" s="189"/>
      <c r="C46" s="67" t="s">
        <v>5</v>
      </c>
      <c r="D46" s="3">
        <v>139</v>
      </c>
      <c r="E46" s="8">
        <v>258</v>
      </c>
      <c r="F46" s="6">
        <v>480</v>
      </c>
      <c r="G46" s="6">
        <v>439</v>
      </c>
      <c r="H46" s="6">
        <v>434</v>
      </c>
      <c r="I46" s="8">
        <v>228</v>
      </c>
      <c r="J46" s="3">
        <v>16</v>
      </c>
      <c r="K46" s="6">
        <v>424</v>
      </c>
      <c r="L46" s="7">
        <v>337</v>
      </c>
      <c r="M46" s="3">
        <v>-20</v>
      </c>
      <c r="N46" s="5">
        <v>207</v>
      </c>
      <c r="O46" s="3">
        <v>-35</v>
      </c>
      <c r="P46" s="3">
        <v>-98</v>
      </c>
      <c r="Q46" s="8">
        <v>295</v>
      </c>
      <c r="R46" s="3">
        <v>-20</v>
      </c>
      <c r="S46" s="3">
        <v>29</v>
      </c>
      <c r="T46" s="4"/>
      <c r="U46" s="4"/>
      <c r="V46" s="4"/>
      <c r="W46" s="4"/>
      <c r="X46" s="4"/>
      <c r="Y46" s="4"/>
      <c r="Z46" s="4"/>
      <c r="AA46" s="38">
        <f>SUM(D46:Z46)</f>
        <v>3113</v>
      </c>
      <c r="AB46" s="38">
        <f>COUNT(D46:Z46)</f>
        <v>16</v>
      </c>
    </row>
    <row r="47" spans="1:28" s="34" customFormat="1" ht="16" customHeight="1" x14ac:dyDescent="0.2">
      <c r="A47" s="142" t="str">
        <f t="shared" ref="A47" si="47">B43&amp;"5"</f>
        <v>John McEnroe5</v>
      </c>
      <c r="B47" s="189"/>
      <c r="C47" s="67">
        <f>SUM(D47:Z47)</f>
        <v>7077</v>
      </c>
      <c r="D47" s="38">
        <f>SUM(D43:D46)</f>
        <v>369</v>
      </c>
      <c r="E47" s="38">
        <f t="shared" ref="E47:Z47" si="48">SUM(E43:E46)</f>
        <v>159</v>
      </c>
      <c r="F47" s="38">
        <f t="shared" si="48"/>
        <v>611</v>
      </c>
      <c r="G47" s="38">
        <f t="shared" si="48"/>
        <v>715</v>
      </c>
      <c r="H47" s="38">
        <f t="shared" si="48"/>
        <v>1122</v>
      </c>
      <c r="I47" s="38">
        <f t="shared" si="48"/>
        <v>578</v>
      </c>
      <c r="J47" s="38">
        <f t="shared" si="48"/>
        <v>624</v>
      </c>
      <c r="K47" s="38">
        <f t="shared" si="48"/>
        <v>1303</v>
      </c>
      <c r="L47" s="38">
        <f t="shared" si="48"/>
        <v>608</v>
      </c>
      <c r="M47" s="38">
        <f t="shared" si="48"/>
        <v>-20</v>
      </c>
      <c r="N47" s="38">
        <f t="shared" si="48"/>
        <v>158</v>
      </c>
      <c r="O47" s="38">
        <f t="shared" si="48"/>
        <v>-35</v>
      </c>
      <c r="P47" s="38">
        <f t="shared" si="48"/>
        <v>311</v>
      </c>
      <c r="Q47" s="38">
        <f t="shared" si="48"/>
        <v>202</v>
      </c>
      <c r="R47" s="4">
        <f t="shared" si="48"/>
        <v>0</v>
      </c>
      <c r="S47" s="38">
        <f t="shared" si="48"/>
        <v>372</v>
      </c>
      <c r="T47" s="38">
        <f t="shared" si="48"/>
        <v>0</v>
      </c>
      <c r="U47" s="38">
        <f t="shared" si="48"/>
        <v>0</v>
      </c>
      <c r="V47" s="38">
        <f t="shared" si="48"/>
        <v>0</v>
      </c>
      <c r="W47" s="38">
        <f t="shared" si="48"/>
        <v>0</v>
      </c>
      <c r="X47" s="38">
        <f t="shared" si="48"/>
        <v>0</v>
      </c>
      <c r="Y47" s="38">
        <f t="shared" si="48"/>
        <v>0</v>
      </c>
      <c r="Z47" s="38">
        <f t="shared" si="48"/>
        <v>0</v>
      </c>
      <c r="AA47" s="38"/>
      <c r="AB47" s="38"/>
    </row>
    <row r="48" spans="1:28" s="38" customFormat="1" ht="16" customHeight="1" x14ac:dyDescent="0.2">
      <c r="A48" s="142" t="str">
        <f t="shared" ref="A48" si="49">B48&amp;"1"</f>
        <v>Mats Wilander1</v>
      </c>
      <c r="B48" s="189" t="s">
        <v>81</v>
      </c>
      <c r="C48" s="67" t="s">
        <v>2</v>
      </c>
      <c r="D48" s="3">
        <v>-99</v>
      </c>
      <c r="E48" s="4"/>
      <c r="F48" s="6">
        <v>504</v>
      </c>
      <c r="G48" s="6">
        <v>336</v>
      </c>
      <c r="H48" s="7">
        <v>243</v>
      </c>
      <c r="I48" s="4"/>
      <c r="J48" s="4"/>
      <c r="K48" s="6">
        <v>420</v>
      </c>
      <c r="L48" s="3">
        <v>-50</v>
      </c>
      <c r="M48" s="8">
        <v>193</v>
      </c>
      <c r="N48" s="3">
        <v>9</v>
      </c>
      <c r="O48" s="4"/>
      <c r="P48" s="4"/>
      <c r="Q48" s="3">
        <v>-23</v>
      </c>
      <c r="R48" s="3">
        <v>-24</v>
      </c>
      <c r="S48" s="4"/>
      <c r="T48" s="4"/>
      <c r="U48" s="4"/>
      <c r="V48" s="4"/>
      <c r="W48" s="4"/>
      <c r="X48" s="4"/>
      <c r="Y48" s="4"/>
      <c r="Z48" s="4"/>
      <c r="AA48" s="40">
        <f>SUM(D48:Z48)</f>
        <v>1509</v>
      </c>
      <c r="AB48" s="40">
        <f>COUNT(D48:Z48)</f>
        <v>10</v>
      </c>
    </row>
    <row r="49" spans="1:28" s="40" customFormat="1" ht="16" customHeight="1" x14ac:dyDescent="0.2">
      <c r="A49" s="142" t="str">
        <f t="shared" ref="A49" si="50">B48&amp;"2"</f>
        <v>Mats Wilander2</v>
      </c>
      <c r="B49" s="189"/>
      <c r="C49" s="67" t="s">
        <v>3</v>
      </c>
      <c r="D49" s="4"/>
      <c r="E49" s="6">
        <v>508</v>
      </c>
      <c r="F49" s="7">
        <v>355</v>
      </c>
      <c r="G49" s="8">
        <v>269</v>
      </c>
      <c r="H49" s="6">
        <v>496</v>
      </c>
      <c r="I49" s="3">
        <v>20</v>
      </c>
      <c r="J49" s="7">
        <v>404</v>
      </c>
      <c r="K49" s="6">
        <v>465</v>
      </c>
      <c r="L49" s="5">
        <v>53</v>
      </c>
      <c r="M49" s="4"/>
      <c r="N49" s="3">
        <v>-49</v>
      </c>
      <c r="O49" s="4"/>
      <c r="P49" s="4"/>
      <c r="Q49" s="3">
        <v>-19</v>
      </c>
      <c r="R49" s="3">
        <v>-5</v>
      </c>
      <c r="S49" s="3">
        <v>-15</v>
      </c>
      <c r="T49" s="4"/>
      <c r="U49" s="4"/>
      <c r="V49" s="4"/>
      <c r="W49" s="4"/>
      <c r="X49" s="4"/>
      <c r="Y49" s="4"/>
      <c r="Z49" s="4"/>
      <c r="AA49" s="40">
        <f>SUM(D49:Z49)</f>
        <v>2482</v>
      </c>
      <c r="AB49" s="40">
        <f>COUNT(D49:Z49)</f>
        <v>12</v>
      </c>
    </row>
    <row r="50" spans="1:28" s="40" customFormat="1" ht="16" customHeight="1" x14ac:dyDescent="0.2">
      <c r="A50" s="142" t="str">
        <f t="shared" ref="A50" si="51">B48&amp;"3"</f>
        <v>Mats Wilander3</v>
      </c>
      <c r="B50" s="189"/>
      <c r="C50" s="67" t="s">
        <v>4</v>
      </c>
      <c r="D50" s="3">
        <v>1</v>
      </c>
      <c r="E50" s="3">
        <v>111</v>
      </c>
      <c r="F50" s="3">
        <v>6</v>
      </c>
      <c r="G50" s="3">
        <v>-32</v>
      </c>
      <c r="H50" s="3">
        <v>-77</v>
      </c>
      <c r="I50" s="3">
        <v>-46</v>
      </c>
      <c r="J50" s="5">
        <v>220</v>
      </c>
      <c r="K50" s="5">
        <v>121</v>
      </c>
      <c r="L50" s="5">
        <v>127</v>
      </c>
      <c r="M50" s="4"/>
      <c r="N50" s="4"/>
      <c r="O50" s="4"/>
      <c r="P50" s="4"/>
      <c r="Q50" s="4"/>
      <c r="R50" s="3">
        <v>5</v>
      </c>
      <c r="S50" s="4"/>
      <c r="T50" s="4"/>
      <c r="U50" s="4"/>
      <c r="V50" s="4"/>
      <c r="W50" s="4"/>
      <c r="X50" s="4"/>
      <c r="Y50" s="4"/>
      <c r="Z50" s="4"/>
      <c r="AA50" s="40">
        <f>SUM(D50:Z50)</f>
        <v>436</v>
      </c>
      <c r="AB50" s="40">
        <f>COUNT(D50:Z50)</f>
        <v>10</v>
      </c>
    </row>
    <row r="51" spans="1:28" s="40" customFormat="1" ht="16" customHeight="1" x14ac:dyDescent="0.2">
      <c r="A51" s="142" t="str">
        <f t="shared" ref="A51" si="52">B48&amp;"4"</f>
        <v>Mats Wilander4</v>
      </c>
      <c r="B51" s="189"/>
      <c r="C51" s="67" t="s">
        <v>5</v>
      </c>
      <c r="D51" s="4"/>
      <c r="E51" s="3">
        <v>115</v>
      </c>
      <c r="F51" s="5">
        <v>179</v>
      </c>
      <c r="G51" s="5">
        <v>154</v>
      </c>
      <c r="H51" s="8">
        <v>304</v>
      </c>
      <c r="I51" s="3">
        <v>73</v>
      </c>
      <c r="J51" s="7">
        <v>226</v>
      </c>
      <c r="K51" s="6">
        <v>504</v>
      </c>
      <c r="L51" s="3">
        <v>-20</v>
      </c>
      <c r="M51" s="3">
        <v>-8</v>
      </c>
      <c r="N51" s="4"/>
      <c r="O51" s="4"/>
      <c r="P51" s="3">
        <v>78</v>
      </c>
      <c r="Q51" s="3">
        <v>-99</v>
      </c>
      <c r="R51" s="3">
        <v>-14</v>
      </c>
      <c r="S51" s="4"/>
      <c r="T51" s="4"/>
      <c r="U51" s="4"/>
      <c r="V51" s="4"/>
      <c r="W51" s="4"/>
      <c r="X51" s="4"/>
      <c r="Y51" s="4"/>
      <c r="Z51" s="4"/>
      <c r="AA51" s="40">
        <f>SUM(D51:Z51)</f>
        <v>1492</v>
      </c>
      <c r="AB51" s="40">
        <f>COUNT(D51:Z51)</f>
        <v>12</v>
      </c>
    </row>
    <row r="52" spans="1:28" s="40" customFormat="1" ht="16" customHeight="1" x14ac:dyDescent="0.2">
      <c r="A52" s="142" t="str">
        <f t="shared" ref="A52" si="53">B48&amp;"5"</f>
        <v>Mats Wilander5</v>
      </c>
      <c r="B52" s="189"/>
      <c r="C52" s="67">
        <f>SUM(D52:Z52)</f>
        <v>5919</v>
      </c>
      <c r="D52" s="40">
        <f>SUM(D48:D51)</f>
        <v>-98</v>
      </c>
      <c r="E52" s="40">
        <f t="shared" ref="E52:Z52" si="54">SUM(E48:E51)</f>
        <v>734</v>
      </c>
      <c r="F52" s="40">
        <f t="shared" si="54"/>
        <v>1044</v>
      </c>
      <c r="G52" s="40">
        <f t="shared" si="54"/>
        <v>727</v>
      </c>
      <c r="H52" s="40">
        <f t="shared" si="54"/>
        <v>966</v>
      </c>
      <c r="I52" s="40">
        <f t="shared" si="54"/>
        <v>47</v>
      </c>
      <c r="J52" s="40">
        <f t="shared" si="54"/>
        <v>850</v>
      </c>
      <c r="K52" s="40">
        <f t="shared" si="54"/>
        <v>1510</v>
      </c>
      <c r="L52" s="40">
        <f t="shared" si="54"/>
        <v>110</v>
      </c>
      <c r="M52" s="40">
        <f t="shared" si="54"/>
        <v>185</v>
      </c>
      <c r="N52" s="40">
        <f t="shared" si="54"/>
        <v>-40</v>
      </c>
      <c r="O52" s="40">
        <f t="shared" si="54"/>
        <v>0</v>
      </c>
      <c r="P52" s="40">
        <f t="shared" si="54"/>
        <v>78</v>
      </c>
      <c r="Q52" s="40">
        <f t="shared" si="54"/>
        <v>-141</v>
      </c>
      <c r="R52" s="4">
        <f t="shared" si="54"/>
        <v>-38</v>
      </c>
      <c r="S52" s="40">
        <f t="shared" si="54"/>
        <v>-15</v>
      </c>
      <c r="T52" s="40">
        <f t="shared" si="54"/>
        <v>0</v>
      </c>
      <c r="U52" s="40">
        <f t="shared" si="54"/>
        <v>0</v>
      </c>
      <c r="V52" s="40">
        <f t="shared" si="54"/>
        <v>0</v>
      </c>
      <c r="W52" s="40">
        <f t="shared" si="54"/>
        <v>0</v>
      </c>
      <c r="X52" s="40">
        <f t="shared" si="54"/>
        <v>0</v>
      </c>
      <c r="Y52" s="40">
        <f t="shared" si="54"/>
        <v>0</v>
      </c>
      <c r="Z52" s="40">
        <f t="shared" si="54"/>
        <v>0</v>
      </c>
    </row>
    <row r="53" spans="1:28" s="40" customFormat="1" ht="16" customHeight="1" x14ac:dyDescent="0.2">
      <c r="A53" s="142" t="str">
        <f t="shared" ref="A53" si="55">B53&amp;"1"</f>
        <v>Stefan Edberg1</v>
      </c>
      <c r="B53" s="189" t="s">
        <v>86</v>
      </c>
      <c r="C53" s="67" t="s">
        <v>2</v>
      </c>
      <c r="D53" s="3">
        <v>-97</v>
      </c>
      <c r="E53" s="5">
        <v>47</v>
      </c>
      <c r="F53" s="6">
        <v>376</v>
      </c>
      <c r="G53" s="4"/>
      <c r="H53" s="6">
        <v>352</v>
      </c>
      <c r="I53" s="8">
        <v>135</v>
      </c>
      <c r="J53" s="5">
        <v>148</v>
      </c>
      <c r="K53" s="7">
        <v>286</v>
      </c>
      <c r="L53" s="8">
        <v>142</v>
      </c>
      <c r="M53" s="7">
        <v>247</v>
      </c>
      <c r="N53" s="7">
        <v>322</v>
      </c>
      <c r="O53" s="8">
        <v>248</v>
      </c>
      <c r="P53" s="3">
        <v>-4</v>
      </c>
      <c r="Q53" s="3">
        <v>-35</v>
      </c>
      <c r="R53" s="4"/>
      <c r="S53" s="4"/>
      <c r="T53" s="4"/>
      <c r="U53" s="4"/>
      <c r="V53" s="4"/>
      <c r="W53" s="4"/>
      <c r="X53" s="4"/>
      <c r="Y53" s="4"/>
      <c r="Z53" s="4"/>
      <c r="AA53" s="47">
        <f>SUM(D53:Z53)</f>
        <v>2167</v>
      </c>
      <c r="AB53" s="47">
        <f>COUNT(D53:Z53)</f>
        <v>13</v>
      </c>
    </row>
    <row r="54" spans="1:28" s="47" customFormat="1" ht="16" customHeight="1" x14ac:dyDescent="0.2">
      <c r="A54" s="142" t="str">
        <f t="shared" ref="A54" si="56">B53&amp;"2"</f>
        <v>Stefan Edberg2</v>
      </c>
      <c r="B54" s="189"/>
      <c r="C54" s="67" t="s">
        <v>3</v>
      </c>
      <c r="D54" s="4"/>
      <c r="E54" s="3">
        <v>47</v>
      </c>
      <c r="F54" s="5">
        <v>165</v>
      </c>
      <c r="G54" s="3">
        <v>-26</v>
      </c>
      <c r="H54" s="3">
        <v>-98</v>
      </c>
      <c r="I54" s="3">
        <v>48</v>
      </c>
      <c r="J54" s="7">
        <v>259</v>
      </c>
      <c r="K54" s="3">
        <v>-46</v>
      </c>
      <c r="L54" s="5">
        <v>230</v>
      </c>
      <c r="M54" s="3">
        <v>19</v>
      </c>
      <c r="N54" s="5">
        <v>127</v>
      </c>
      <c r="O54" s="3">
        <v>-37</v>
      </c>
      <c r="P54" s="3">
        <v>54</v>
      </c>
      <c r="Q54" s="3">
        <v>209</v>
      </c>
      <c r="R54" s="4"/>
      <c r="S54" s="4"/>
      <c r="T54" s="4"/>
      <c r="U54" s="4"/>
      <c r="V54" s="4"/>
      <c r="W54" s="4"/>
      <c r="X54" s="4"/>
      <c r="Y54" s="4"/>
      <c r="Z54" s="4"/>
      <c r="AA54" s="47">
        <f>SUM(D54:Z54)</f>
        <v>951</v>
      </c>
      <c r="AB54" s="47">
        <f>COUNT(D54:Z54)</f>
        <v>13</v>
      </c>
    </row>
    <row r="55" spans="1:28" s="47" customFormat="1" ht="16" customHeight="1" x14ac:dyDescent="0.2">
      <c r="A55" s="142" t="str">
        <f t="shared" ref="A55" si="57">B53&amp;"3"</f>
        <v>Stefan Edberg3</v>
      </c>
      <c r="B55" s="189"/>
      <c r="C55" s="67" t="s">
        <v>4</v>
      </c>
      <c r="D55" s="3">
        <v>51</v>
      </c>
      <c r="E55" s="3">
        <v>32</v>
      </c>
      <c r="F55" s="3">
        <v>62</v>
      </c>
      <c r="G55" s="3">
        <v>51</v>
      </c>
      <c r="H55" s="8">
        <v>230</v>
      </c>
      <c r="I55" s="6">
        <v>349</v>
      </c>
      <c r="J55" s="7">
        <v>315</v>
      </c>
      <c r="K55" s="6">
        <v>435</v>
      </c>
      <c r="L55" s="8">
        <v>176</v>
      </c>
      <c r="M55" s="5">
        <v>6</v>
      </c>
      <c r="N55" s="8">
        <v>169</v>
      </c>
      <c r="O55" s="3">
        <v>-98</v>
      </c>
      <c r="P55" s="3">
        <v>-86</v>
      </c>
      <c r="Q55" s="3">
        <v>-9</v>
      </c>
      <c r="R55" s="4"/>
      <c r="S55" s="4"/>
      <c r="T55" s="4"/>
      <c r="U55" s="4"/>
      <c r="V55" s="4"/>
      <c r="W55" s="4"/>
      <c r="X55" s="4"/>
      <c r="Y55" s="4"/>
      <c r="Z55" s="4"/>
      <c r="AA55" s="47">
        <f>SUM(D55:Z55)</f>
        <v>1683</v>
      </c>
      <c r="AB55" s="47">
        <f>COUNT(D55:Z55)</f>
        <v>14</v>
      </c>
    </row>
    <row r="56" spans="1:28" s="47" customFormat="1" ht="16" customHeight="1" x14ac:dyDescent="0.2">
      <c r="A56" s="142" t="str">
        <f t="shared" ref="A56" si="58">B53&amp;"4"</f>
        <v>Stefan Edberg4</v>
      </c>
      <c r="B56" s="189"/>
      <c r="C56" s="67" t="s">
        <v>5</v>
      </c>
      <c r="D56" s="3">
        <v>-97</v>
      </c>
      <c r="E56" s="3">
        <v>0</v>
      </c>
      <c r="F56" s="3">
        <v>189</v>
      </c>
      <c r="G56" s="8">
        <v>226</v>
      </c>
      <c r="H56" s="8">
        <v>280</v>
      </c>
      <c r="I56" s="3">
        <v>36</v>
      </c>
      <c r="J56" s="3">
        <v>42</v>
      </c>
      <c r="K56" s="3">
        <v>-52</v>
      </c>
      <c r="L56" s="6">
        <v>373</v>
      </c>
      <c r="M56" s="6">
        <v>546</v>
      </c>
      <c r="N56" s="3">
        <v>-17</v>
      </c>
      <c r="O56" s="3">
        <v>-53</v>
      </c>
      <c r="P56" s="3">
        <v>38</v>
      </c>
      <c r="Q56" s="5">
        <v>256</v>
      </c>
      <c r="R56" s="4"/>
      <c r="S56" s="4"/>
      <c r="T56" s="4"/>
      <c r="U56" s="4"/>
      <c r="V56" s="4"/>
      <c r="W56" s="4"/>
      <c r="X56" s="4"/>
      <c r="Y56" s="4"/>
      <c r="Z56" s="4"/>
      <c r="AA56" s="47">
        <f>SUM(D56:Z56)</f>
        <v>1767</v>
      </c>
      <c r="AB56" s="47">
        <f>COUNT(D56:Z56)</f>
        <v>14</v>
      </c>
    </row>
    <row r="57" spans="1:28" s="47" customFormat="1" ht="16" customHeight="1" x14ac:dyDescent="0.2">
      <c r="A57" s="142" t="str">
        <f t="shared" ref="A57" si="59">B53&amp;"5"</f>
        <v>Stefan Edberg5</v>
      </c>
      <c r="B57" s="189"/>
      <c r="C57" s="67">
        <f>SUM(D57:Z57)</f>
        <v>6568</v>
      </c>
      <c r="D57" s="47">
        <f>SUM(D53:D56)</f>
        <v>-143</v>
      </c>
      <c r="E57" s="47">
        <f t="shared" ref="E57:Z57" si="60">SUM(E53:E56)</f>
        <v>126</v>
      </c>
      <c r="F57" s="47">
        <f t="shared" si="60"/>
        <v>792</v>
      </c>
      <c r="G57" s="47">
        <f t="shared" si="60"/>
        <v>251</v>
      </c>
      <c r="H57" s="47">
        <f t="shared" si="60"/>
        <v>764</v>
      </c>
      <c r="I57" s="47">
        <f t="shared" si="60"/>
        <v>568</v>
      </c>
      <c r="J57" s="47">
        <f t="shared" si="60"/>
        <v>764</v>
      </c>
      <c r="K57" s="47">
        <f t="shared" si="60"/>
        <v>623</v>
      </c>
      <c r="L57" s="47">
        <f t="shared" si="60"/>
        <v>921</v>
      </c>
      <c r="M57" s="47">
        <f t="shared" si="60"/>
        <v>818</v>
      </c>
      <c r="N57" s="47">
        <f t="shared" si="60"/>
        <v>601</v>
      </c>
      <c r="O57" s="47">
        <f t="shared" si="60"/>
        <v>60</v>
      </c>
      <c r="P57" s="47">
        <f t="shared" si="60"/>
        <v>2</v>
      </c>
      <c r="Q57" s="47">
        <f t="shared" si="60"/>
        <v>421</v>
      </c>
      <c r="R57" s="4">
        <f t="shared" si="60"/>
        <v>0</v>
      </c>
      <c r="S57" s="47">
        <f t="shared" si="60"/>
        <v>0</v>
      </c>
      <c r="T57" s="47">
        <f t="shared" si="60"/>
        <v>0</v>
      </c>
      <c r="U57" s="47">
        <f t="shared" si="60"/>
        <v>0</v>
      </c>
      <c r="V57" s="47">
        <f t="shared" si="60"/>
        <v>0</v>
      </c>
      <c r="W57" s="47">
        <f t="shared" si="60"/>
        <v>0</v>
      </c>
      <c r="X57" s="47">
        <f t="shared" si="60"/>
        <v>0</v>
      </c>
      <c r="Y57" s="47">
        <f t="shared" si="60"/>
        <v>0</v>
      </c>
      <c r="Z57" s="47">
        <f t="shared" si="60"/>
        <v>0</v>
      </c>
    </row>
    <row r="58" spans="1:28" s="47" customFormat="1" ht="16" customHeight="1" x14ac:dyDescent="0.2">
      <c r="A58" s="142" t="str">
        <f t="shared" ref="A58" si="61">B58&amp;"1"</f>
        <v>Boris Becker1</v>
      </c>
      <c r="B58" s="189" t="s">
        <v>92</v>
      </c>
      <c r="C58" s="67" t="s">
        <v>2</v>
      </c>
      <c r="D58" s="5">
        <v>168</v>
      </c>
      <c r="E58" s="3">
        <v>-98</v>
      </c>
      <c r="F58" s="4"/>
      <c r="G58" s="3">
        <v>28</v>
      </c>
      <c r="H58" s="4"/>
      <c r="I58" s="3">
        <v>-4</v>
      </c>
      <c r="J58" s="5">
        <v>174</v>
      </c>
      <c r="K58" s="6">
        <v>317</v>
      </c>
      <c r="L58" s="3">
        <v>4</v>
      </c>
      <c r="M58" s="3">
        <v>-99</v>
      </c>
      <c r="N58" s="4"/>
      <c r="O58" s="3">
        <v>-65</v>
      </c>
      <c r="P58" s="6">
        <v>484</v>
      </c>
      <c r="Q58" s="3">
        <v>-25</v>
      </c>
      <c r="R58" s="4"/>
      <c r="S58" s="4"/>
      <c r="T58" s="4"/>
      <c r="U58" s="4"/>
      <c r="V58" s="4"/>
      <c r="W58" s="4"/>
      <c r="X58" s="4"/>
      <c r="Y58" s="4"/>
      <c r="Z58" s="4"/>
      <c r="AA58" s="51">
        <f>SUM(D58:Z58)</f>
        <v>884</v>
      </c>
      <c r="AB58" s="51">
        <f>COUNT(D58:Z58)</f>
        <v>11</v>
      </c>
    </row>
    <row r="59" spans="1:28" s="51" customFormat="1" ht="16" customHeight="1" x14ac:dyDescent="0.2">
      <c r="A59" s="142" t="str">
        <f t="shared" ref="A59" si="62">B58&amp;"2"</f>
        <v>Boris Becker2</v>
      </c>
      <c r="B59" s="189"/>
      <c r="C59" s="67" t="s">
        <v>3</v>
      </c>
      <c r="D59" s="4"/>
      <c r="E59" s="3">
        <v>73</v>
      </c>
      <c r="F59" s="5">
        <v>153</v>
      </c>
      <c r="G59" s="8">
        <v>227</v>
      </c>
      <c r="H59" s="3">
        <v>136</v>
      </c>
      <c r="I59" s="8">
        <v>200</v>
      </c>
      <c r="J59" s="3">
        <v>-51</v>
      </c>
      <c r="K59" s="8">
        <v>315</v>
      </c>
      <c r="L59" s="4"/>
      <c r="M59" s="3">
        <v>-95</v>
      </c>
      <c r="N59" s="4"/>
      <c r="O59" s="3">
        <v>-16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51">
        <f>SUM(D59:Z59)</f>
        <v>942</v>
      </c>
      <c r="AB59" s="51">
        <f>COUNT(D59:Z59)</f>
        <v>9</v>
      </c>
    </row>
    <row r="60" spans="1:28" s="51" customFormat="1" ht="16" customHeight="1" x14ac:dyDescent="0.2">
      <c r="A60" s="142" t="str">
        <f t="shared" ref="A60" si="63">B58&amp;"3"</f>
        <v>Boris Becker3</v>
      </c>
      <c r="B60" s="189"/>
      <c r="C60" s="67" t="s">
        <v>4</v>
      </c>
      <c r="D60" s="3">
        <v>35</v>
      </c>
      <c r="E60" s="6">
        <v>527</v>
      </c>
      <c r="F60" s="6">
        <v>516</v>
      </c>
      <c r="G60" s="3">
        <v>0</v>
      </c>
      <c r="H60" s="7">
        <v>347</v>
      </c>
      <c r="I60" s="6">
        <v>429</v>
      </c>
      <c r="J60" s="7">
        <v>295</v>
      </c>
      <c r="K60" s="7">
        <v>329</v>
      </c>
      <c r="L60" s="5">
        <v>179</v>
      </c>
      <c r="M60" s="8">
        <v>335</v>
      </c>
      <c r="N60" s="8">
        <v>129</v>
      </c>
      <c r="O60" s="7">
        <v>222</v>
      </c>
      <c r="P60" s="3">
        <v>-47</v>
      </c>
      <c r="Q60" s="5">
        <v>170</v>
      </c>
      <c r="R60" s="4"/>
      <c r="S60" s="3">
        <v>149</v>
      </c>
      <c r="T60" s="4"/>
      <c r="U60" s="4"/>
      <c r="V60" s="4"/>
      <c r="W60" s="4"/>
      <c r="X60" s="4"/>
      <c r="Y60" s="4"/>
      <c r="Z60" s="4"/>
      <c r="AA60" s="51">
        <f>SUM(D60:Z60)</f>
        <v>3615</v>
      </c>
      <c r="AB60" s="51">
        <f>COUNT(D60:Z60)</f>
        <v>15</v>
      </c>
    </row>
    <row r="61" spans="1:28" s="51" customFormat="1" ht="16" customHeight="1" x14ac:dyDescent="0.2">
      <c r="A61" s="142" t="str">
        <f t="shared" ref="A61" si="64">B58&amp;"4"</f>
        <v>Boris Becker4</v>
      </c>
      <c r="B61" s="189"/>
      <c r="C61" s="67" t="s">
        <v>5</v>
      </c>
      <c r="D61" s="4"/>
      <c r="E61" s="3">
        <v>-5</v>
      </c>
      <c r="F61" s="8">
        <v>116</v>
      </c>
      <c r="G61" s="3">
        <v>38</v>
      </c>
      <c r="H61" s="3">
        <v>-18</v>
      </c>
      <c r="I61" s="6">
        <v>501</v>
      </c>
      <c r="J61" s="8">
        <v>321</v>
      </c>
      <c r="K61" s="3">
        <v>95</v>
      </c>
      <c r="L61" s="3">
        <v>84</v>
      </c>
      <c r="M61" s="3">
        <v>48</v>
      </c>
      <c r="N61" s="3">
        <v>-48</v>
      </c>
      <c r="O61" s="8">
        <v>167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51">
        <f>SUM(D61:Z61)</f>
        <v>1299</v>
      </c>
      <c r="AB61" s="51">
        <f>COUNT(D61:Z61)</f>
        <v>11</v>
      </c>
    </row>
    <row r="62" spans="1:28" s="51" customFormat="1" ht="16" customHeight="1" x14ac:dyDescent="0.2">
      <c r="A62" s="142" t="str">
        <f t="shared" ref="A62" si="65">B58&amp;"5"</f>
        <v>Boris Becker5</v>
      </c>
      <c r="B62" s="189"/>
      <c r="C62" s="67">
        <f>SUM(D62:Z62)</f>
        <v>6740</v>
      </c>
      <c r="D62" s="51">
        <f>SUM(D58:D61)</f>
        <v>203</v>
      </c>
      <c r="E62" s="51">
        <f t="shared" ref="E62:Z62" si="66">SUM(E58:E61)</f>
        <v>497</v>
      </c>
      <c r="F62" s="51">
        <f t="shared" si="66"/>
        <v>785</v>
      </c>
      <c r="G62" s="51">
        <f t="shared" si="66"/>
        <v>293</v>
      </c>
      <c r="H62" s="51">
        <f t="shared" si="66"/>
        <v>465</v>
      </c>
      <c r="I62" s="51">
        <f t="shared" si="66"/>
        <v>1126</v>
      </c>
      <c r="J62" s="51">
        <f t="shared" si="66"/>
        <v>739</v>
      </c>
      <c r="K62" s="51">
        <f t="shared" si="66"/>
        <v>1056</v>
      </c>
      <c r="L62" s="51">
        <f t="shared" si="66"/>
        <v>267</v>
      </c>
      <c r="M62" s="51">
        <f t="shared" si="66"/>
        <v>189</v>
      </c>
      <c r="N62" s="51">
        <f t="shared" si="66"/>
        <v>81</v>
      </c>
      <c r="O62" s="51">
        <f t="shared" si="66"/>
        <v>308</v>
      </c>
      <c r="P62" s="51">
        <f t="shared" si="66"/>
        <v>437</v>
      </c>
      <c r="Q62" s="51">
        <f t="shared" si="66"/>
        <v>145</v>
      </c>
      <c r="R62" s="4">
        <f t="shared" si="66"/>
        <v>0</v>
      </c>
      <c r="S62" s="51">
        <f t="shared" si="66"/>
        <v>149</v>
      </c>
      <c r="T62" s="51">
        <f t="shared" si="66"/>
        <v>0</v>
      </c>
      <c r="U62" s="51">
        <f t="shared" si="66"/>
        <v>0</v>
      </c>
      <c r="V62" s="51">
        <f t="shared" si="66"/>
        <v>0</v>
      </c>
      <c r="W62" s="51">
        <f t="shared" si="66"/>
        <v>0</v>
      </c>
      <c r="X62" s="51">
        <f t="shared" si="66"/>
        <v>0</v>
      </c>
      <c r="Y62" s="51">
        <f t="shared" si="66"/>
        <v>0</v>
      </c>
      <c r="Z62" s="51">
        <f t="shared" si="66"/>
        <v>0</v>
      </c>
    </row>
    <row r="63" spans="1:28" s="51" customFormat="1" ht="16" customHeight="1" x14ac:dyDescent="0.2">
      <c r="A63" s="142" t="str">
        <f t="shared" ref="A63" si="67">B63&amp;"1"</f>
        <v>Guillermo Vilas1</v>
      </c>
      <c r="B63" s="189" t="s">
        <v>102</v>
      </c>
      <c r="C63" s="67" t="s">
        <v>2</v>
      </c>
      <c r="D63" s="4"/>
      <c r="E63" s="4"/>
      <c r="F63" s="4"/>
      <c r="G63" s="4"/>
      <c r="H63" s="4"/>
      <c r="I63" s="4"/>
      <c r="J63" s="4"/>
      <c r="K63" s="7">
        <v>183</v>
      </c>
      <c r="L63" s="6">
        <v>354</v>
      </c>
      <c r="M63" s="6">
        <v>490</v>
      </c>
      <c r="N63" s="8">
        <v>133</v>
      </c>
      <c r="O63" s="3">
        <v>22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56">
        <f>SUM(D63:Z63)</f>
        <v>1182</v>
      </c>
      <c r="AB63" s="56">
        <f>COUNT(D63:Z63)</f>
        <v>5</v>
      </c>
    </row>
    <row r="64" spans="1:28" s="56" customFormat="1" ht="16" customHeight="1" x14ac:dyDescent="0.2">
      <c r="A64" s="142" t="str">
        <f t="shared" ref="A64" si="68">B63&amp;"2"</f>
        <v>Guillermo Vilas2</v>
      </c>
      <c r="B64" s="189"/>
      <c r="C64" s="67" t="s">
        <v>3</v>
      </c>
      <c r="D64" s="4"/>
      <c r="E64" s="4"/>
      <c r="F64" s="3">
        <v>35</v>
      </c>
      <c r="G64" s="3">
        <v>71</v>
      </c>
      <c r="H64" s="3">
        <v>52</v>
      </c>
      <c r="I64" s="7">
        <v>319</v>
      </c>
      <c r="J64" s="5">
        <v>138</v>
      </c>
      <c r="K64" s="6">
        <v>545</v>
      </c>
      <c r="L64" s="7">
        <v>299</v>
      </c>
      <c r="M64" s="5">
        <v>152</v>
      </c>
      <c r="N64" s="5">
        <v>195</v>
      </c>
      <c r="O64" s="3">
        <v>105</v>
      </c>
      <c r="P64" s="7">
        <v>283</v>
      </c>
      <c r="Q64" s="5">
        <v>112</v>
      </c>
      <c r="R64" s="3">
        <v>-31</v>
      </c>
      <c r="S64" s="3">
        <v>-9</v>
      </c>
      <c r="T64" s="5">
        <v>101</v>
      </c>
      <c r="U64" s="3">
        <v>-53</v>
      </c>
      <c r="V64" s="3">
        <v>-45</v>
      </c>
      <c r="W64" s="3">
        <v>-99</v>
      </c>
      <c r="X64" s="4"/>
      <c r="Y64" s="4"/>
      <c r="Z64" s="4"/>
      <c r="AA64" s="56">
        <f>SUM(D64:Z64)</f>
        <v>2170</v>
      </c>
      <c r="AB64" s="56">
        <f>COUNT(D64:Z64)</f>
        <v>18</v>
      </c>
    </row>
    <row r="65" spans="1:28" s="56" customFormat="1" ht="16" customHeight="1" x14ac:dyDescent="0.2">
      <c r="A65" s="142" t="str">
        <f t="shared" ref="A65" si="69">B63&amp;"3"</f>
        <v>Guillermo Vilas3</v>
      </c>
      <c r="B65" s="189"/>
      <c r="C65" s="67" t="s">
        <v>4</v>
      </c>
      <c r="D65" s="3">
        <v>-99</v>
      </c>
      <c r="E65" s="4"/>
      <c r="F65" s="3">
        <v>-26</v>
      </c>
      <c r="G65" s="4"/>
      <c r="H65" s="3">
        <v>80</v>
      </c>
      <c r="I65" s="5">
        <v>122</v>
      </c>
      <c r="J65" s="5">
        <v>185</v>
      </c>
      <c r="K65" s="3">
        <v>31</v>
      </c>
      <c r="L65" s="3">
        <v>19</v>
      </c>
      <c r="M65" s="3">
        <v>-45</v>
      </c>
      <c r="N65" s="4"/>
      <c r="O65" s="3">
        <v>-58</v>
      </c>
      <c r="P65" s="4"/>
      <c r="Q65" s="3">
        <v>-82</v>
      </c>
      <c r="R65" s="4"/>
      <c r="S65" s="4"/>
      <c r="T65" s="3">
        <v>-99</v>
      </c>
      <c r="U65" s="4"/>
      <c r="V65" s="4"/>
      <c r="W65" s="4"/>
      <c r="X65" s="4"/>
      <c r="Y65" s="4"/>
      <c r="Z65" s="4"/>
      <c r="AA65" s="56">
        <f>SUM(D65:Z65)</f>
        <v>28</v>
      </c>
      <c r="AB65" s="56">
        <f>COUNT(D65:Z65)</f>
        <v>11</v>
      </c>
    </row>
    <row r="66" spans="1:28" s="56" customFormat="1" ht="16" customHeight="1" x14ac:dyDescent="0.2">
      <c r="A66" s="142" t="str">
        <f t="shared" ref="A66" si="70">B63&amp;"4"</f>
        <v>Guillermo Vilas4</v>
      </c>
      <c r="B66" s="189"/>
      <c r="C66" s="67" t="s">
        <v>5</v>
      </c>
      <c r="D66" s="4"/>
      <c r="E66" s="4"/>
      <c r="F66" s="3">
        <v>-12</v>
      </c>
      <c r="G66" s="3">
        <v>-87</v>
      </c>
      <c r="H66" s="3">
        <v>28</v>
      </c>
      <c r="I66" s="8">
        <v>264</v>
      </c>
      <c r="J66" s="8">
        <v>217</v>
      </c>
      <c r="K66" s="6">
        <v>391</v>
      </c>
      <c r="L66" s="3">
        <v>83</v>
      </c>
      <c r="M66" s="3">
        <v>23</v>
      </c>
      <c r="N66" s="3">
        <v>21</v>
      </c>
      <c r="O66" s="3">
        <v>113</v>
      </c>
      <c r="P66" s="8">
        <v>169</v>
      </c>
      <c r="Q66" s="3">
        <v>-93</v>
      </c>
      <c r="R66" s="3">
        <v>-18</v>
      </c>
      <c r="S66" s="3">
        <v>-15</v>
      </c>
      <c r="T66" s="3">
        <v>-43</v>
      </c>
      <c r="U66" s="4"/>
      <c r="V66" s="4"/>
      <c r="W66" s="4"/>
      <c r="X66" s="4"/>
      <c r="Y66" s="4"/>
      <c r="Z66" s="4"/>
      <c r="AA66" s="56">
        <f>SUM(D66:Z66)</f>
        <v>1041</v>
      </c>
      <c r="AB66" s="56">
        <f>COUNT(D66:Z66)</f>
        <v>15</v>
      </c>
    </row>
    <row r="67" spans="1:28" s="56" customFormat="1" ht="16" customHeight="1" x14ac:dyDescent="0.2">
      <c r="A67" s="142" t="str">
        <f t="shared" ref="A67" si="71">B63&amp;"5"</f>
        <v>Guillermo Vilas5</v>
      </c>
      <c r="B67" s="189"/>
      <c r="C67" s="67">
        <f>SUM(D67:Z67)</f>
        <v>4421</v>
      </c>
      <c r="D67" s="56">
        <f>SUM(D63:D66)</f>
        <v>-99</v>
      </c>
      <c r="E67" s="56">
        <f t="shared" ref="E67:Z67" si="72">SUM(E63:E66)</f>
        <v>0</v>
      </c>
      <c r="F67" s="56">
        <f t="shared" si="72"/>
        <v>-3</v>
      </c>
      <c r="G67" s="56">
        <f t="shared" si="72"/>
        <v>-16</v>
      </c>
      <c r="H67" s="56">
        <f t="shared" si="72"/>
        <v>160</v>
      </c>
      <c r="I67" s="56">
        <f t="shared" si="72"/>
        <v>705</v>
      </c>
      <c r="J67" s="56">
        <f t="shared" si="72"/>
        <v>540</v>
      </c>
      <c r="K67" s="56">
        <f t="shared" si="72"/>
        <v>1150</v>
      </c>
      <c r="L67" s="56">
        <f t="shared" si="72"/>
        <v>755</v>
      </c>
      <c r="M67" s="56">
        <f t="shared" si="72"/>
        <v>620</v>
      </c>
      <c r="N67" s="56">
        <f t="shared" si="72"/>
        <v>349</v>
      </c>
      <c r="O67" s="56">
        <f t="shared" si="72"/>
        <v>182</v>
      </c>
      <c r="P67" s="56">
        <f t="shared" si="72"/>
        <v>452</v>
      </c>
      <c r="Q67" s="56">
        <f t="shared" si="72"/>
        <v>-63</v>
      </c>
      <c r="R67" s="4">
        <f t="shared" si="72"/>
        <v>-49</v>
      </c>
      <c r="S67" s="56">
        <f t="shared" si="72"/>
        <v>-24</v>
      </c>
      <c r="T67" s="56">
        <f t="shared" si="72"/>
        <v>-41</v>
      </c>
      <c r="U67" s="56">
        <f t="shared" si="72"/>
        <v>-53</v>
      </c>
      <c r="V67" s="56">
        <f t="shared" si="72"/>
        <v>-45</v>
      </c>
      <c r="W67" s="56">
        <f t="shared" si="72"/>
        <v>-99</v>
      </c>
      <c r="X67" s="56">
        <f t="shared" si="72"/>
        <v>0</v>
      </c>
      <c r="Y67" s="56">
        <f t="shared" si="72"/>
        <v>0</v>
      </c>
      <c r="Z67" s="56">
        <f t="shared" si="72"/>
        <v>0</v>
      </c>
    </row>
    <row r="68" spans="1:28" s="56" customFormat="1" ht="16" customHeight="1" x14ac:dyDescent="0.2">
      <c r="A68" s="142" t="str">
        <f t="shared" ref="A68" si="73">B68&amp;"1"</f>
        <v>Jim Courier1</v>
      </c>
      <c r="B68" s="189" t="s">
        <v>109</v>
      </c>
      <c r="C68" s="67" t="s">
        <v>2</v>
      </c>
      <c r="D68" s="4"/>
      <c r="E68" s="4"/>
      <c r="F68" s="3">
        <v>6</v>
      </c>
      <c r="G68" s="3">
        <v>29</v>
      </c>
      <c r="H68" s="6">
        <v>365</v>
      </c>
      <c r="I68" s="6">
        <v>427</v>
      </c>
      <c r="J68" s="8">
        <v>304</v>
      </c>
      <c r="K68" s="5">
        <v>160</v>
      </c>
      <c r="L68" s="5">
        <v>108</v>
      </c>
      <c r="M68" s="3">
        <v>50</v>
      </c>
      <c r="N68" s="4"/>
      <c r="O68" s="3">
        <v>52</v>
      </c>
      <c r="P68" s="3">
        <v>-34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60">
        <f>SUM(D68:Z68)</f>
        <v>1467</v>
      </c>
      <c r="AB68" s="60">
        <f>COUNT(D68:Z68)</f>
        <v>10</v>
      </c>
    </row>
    <row r="69" spans="1:28" s="60" customFormat="1" ht="16" customHeight="1" x14ac:dyDescent="0.2">
      <c r="A69" s="142" t="str">
        <f t="shared" ref="A69" si="74">B68&amp;"2"</f>
        <v>Jim Courier2</v>
      </c>
      <c r="B69" s="189"/>
      <c r="C69" s="67" t="s">
        <v>3</v>
      </c>
      <c r="D69" s="4"/>
      <c r="E69" s="3">
        <v>70</v>
      </c>
      <c r="F69" s="3">
        <v>32</v>
      </c>
      <c r="G69" s="6">
        <v>485</v>
      </c>
      <c r="H69" s="6">
        <v>486</v>
      </c>
      <c r="I69" s="7">
        <v>341</v>
      </c>
      <c r="J69" s="8">
        <v>221</v>
      </c>
      <c r="K69" s="3">
        <v>55</v>
      </c>
      <c r="L69" s="5">
        <v>118</v>
      </c>
      <c r="M69" s="3">
        <v>-39</v>
      </c>
      <c r="N69" s="3">
        <v>-42</v>
      </c>
      <c r="O69" s="3">
        <v>-35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60">
        <f>SUM(D69:Z69)</f>
        <v>1692</v>
      </c>
      <c r="AB69" s="60">
        <f>COUNT(D69:Z69)</f>
        <v>11</v>
      </c>
    </row>
    <row r="70" spans="1:28" s="60" customFormat="1" ht="16" customHeight="1" x14ac:dyDescent="0.2">
      <c r="A70" s="142" t="str">
        <f t="shared" ref="A70" si="75">B68&amp;"3"</f>
        <v>Jim Courier3</v>
      </c>
      <c r="B70" s="189"/>
      <c r="C70" s="67" t="s">
        <v>4</v>
      </c>
      <c r="D70" s="4"/>
      <c r="E70" s="3">
        <v>-52</v>
      </c>
      <c r="F70" s="3">
        <v>-97</v>
      </c>
      <c r="G70" s="5">
        <v>113</v>
      </c>
      <c r="H70" s="3">
        <v>-57</v>
      </c>
      <c r="I70" s="7">
        <v>343</v>
      </c>
      <c r="J70" s="3">
        <v>-78</v>
      </c>
      <c r="K70" s="3">
        <v>-57</v>
      </c>
      <c r="L70" s="3">
        <v>-99</v>
      </c>
      <c r="M70" s="3">
        <v>-88</v>
      </c>
      <c r="N70" s="3">
        <v>-41</v>
      </c>
      <c r="O70" s="3">
        <v>133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60">
        <f>SUM(D70:Z70)</f>
        <v>20</v>
      </c>
      <c r="AB70" s="60">
        <f>COUNT(D70:Z70)</f>
        <v>11</v>
      </c>
    </row>
    <row r="71" spans="1:28" s="60" customFormat="1" ht="16" customHeight="1" x14ac:dyDescent="0.2">
      <c r="A71" s="142" t="str">
        <f t="shared" ref="A71" si="76">B68&amp;"4"</f>
        <v>Jim Courier4</v>
      </c>
      <c r="B71" s="189"/>
      <c r="C71" s="67" t="s">
        <v>5</v>
      </c>
      <c r="D71" s="3">
        <v>3</v>
      </c>
      <c r="E71" s="3">
        <v>69</v>
      </c>
      <c r="F71" s="3">
        <v>5</v>
      </c>
      <c r="G71" s="7">
        <v>352</v>
      </c>
      <c r="H71" s="8">
        <v>294</v>
      </c>
      <c r="I71" s="3">
        <v>58</v>
      </c>
      <c r="J71" s="3">
        <v>33</v>
      </c>
      <c r="K71" s="8">
        <v>313</v>
      </c>
      <c r="L71" s="4"/>
      <c r="M71" s="3">
        <v>-62</v>
      </c>
      <c r="N71" s="4"/>
      <c r="O71" s="3">
        <v>-95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60">
        <f>SUM(D71:Z71)</f>
        <v>970</v>
      </c>
      <c r="AB71" s="60">
        <f>COUNT(D71:Z71)</f>
        <v>10</v>
      </c>
    </row>
    <row r="72" spans="1:28" s="60" customFormat="1" ht="16" customHeight="1" x14ac:dyDescent="0.2">
      <c r="A72" s="142" t="str">
        <f t="shared" ref="A72" si="77">B68&amp;"5"</f>
        <v>Jim Courier5</v>
      </c>
      <c r="B72" s="189"/>
      <c r="C72" s="67">
        <f>SUM(D72:Z72)</f>
        <v>4149</v>
      </c>
      <c r="D72" s="60">
        <f>SUM(D68:D71)</f>
        <v>3</v>
      </c>
      <c r="E72" s="60">
        <f t="shared" ref="E72:Z72" si="78">SUM(E68:E71)</f>
        <v>87</v>
      </c>
      <c r="F72" s="60">
        <f t="shared" si="78"/>
        <v>-54</v>
      </c>
      <c r="G72" s="60">
        <f t="shared" si="78"/>
        <v>979</v>
      </c>
      <c r="H72" s="60">
        <f t="shared" si="78"/>
        <v>1088</v>
      </c>
      <c r="I72" s="60">
        <f t="shared" si="78"/>
        <v>1169</v>
      </c>
      <c r="J72" s="60">
        <f t="shared" si="78"/>
        <v>480</v>
      </c>
      <c r="K72" s="60">
        <f t="shared" si="78"/>
        <v>471</v>
      </c>
      <c r="L72" s="60">
        <f t="shared" si="78"/>
        <v>127</v>
      </c>
      <c r="M72" s="60">
        <f t="shared" si="78"/>
        <v>-139</v>
      </c>
      <c r="N72" s="60">
        <f t="shared" si="78"/>
        <v>-83</v>
      </c>
      <c r="O72" s="60">
        <f t="shared" si="78"/>
        <v>55</v>
      </c>
      <c r="P72" s="60">
        <f t="shared" si="78"/>
        <v>-34</v>
      </c>
      <c r="Q72" s="60">
        <f t="shared" si="78"/>
        <v>0</v>
      </c>
      <c r="R72" s="4">
        <f t="shared" si="78"/>
        <v>0</v>
      </c>
      <c r="S72" s="60">
        <f t="shared" si="78"/>
        <v>0</v>
      </c>
      <c r="T72" s="60">
        <f t="shared" si="78"/>
        <v>0</v>
      </c>
      <c r="U72" s="60">
        <f t="shared" si="78"/>
        <v>0</v>
      </c>
      <c r="V72" s="60">
        <f t="shared" si="78"/>
        <v>0</v>
      </c>
      <c r="W72" s="60">
        <f t="shared" si="78"/>
        <v>0</v>
      </c>
      <c r="X72" s="60">
        <f t="shared" si="78"/>
        <v>0</v>
      </c>
      <c r="Y72" s="60">
        <f t="shared" si="78"/>
        <v>0</v>
      </c>
      <c r="Z72" s="60">
        <f t="shared" si="78"/>
        <v>0</v>
      </c>
    </row>
    <row r="73" spans="1:28" s="60" customFormat="1" ht="16" customHeight="1" x14ac:dyDescent="0.2">
      <c r="A73" s="142" t="str">
        <f t="shared" ref="A73" si="79">B73&amp;"1"</f>
        <v>Andy Murray1</v>
      </c>
      <c r="B73" s="189" t="s">
        <v>112</v>
      </c>
      <c r="C73" s="67" t="s">
        <v>2</v>
      </c>
      <c r="D73" s="4"/>
      <c r="E73" s="3">
        <v>-51</v>
      </c>
      <c r="F73" s="3">
        <v>170</v>
      </c>
      <c r="G73" s="3">
        <v>-38</v>
      </c>
      <c r="H73" s="3">
        <v>105</v>
      </c>
      <c r="I73" s="7">
        <v>360</v>
      </c>
      <c r="J73" s="7">
        <v>353</v>
      </c>
      <c r="K73" s="8">
        <v>181</v>
      </c>
      <c r="L73" s="7">
        <v>326</v>
      </c>
      <c r="M73" s="5">
        <v>81</v>
      </c>
      <c r="N73" s="7">
        <v>324</v>
      </c>
      <c r="O73" s="7">
        <v>410</v>
      </c>
      <c r="P73" s="3">
        <v>25</v>
      </c>
      <c r="Q73" s="4"/>
      <c r="R73" s="3">
        <v>-22</v>
      </c>
      <c r="S73" s="4"/>
      <c r="T73" s="4"/>
      <c r="U73" s="3">
        <v>-20</v>
      </c>
      <c r="V73" s="3">
        <v>64</v>
      </c>
      <c r="W73" s="3">
        <v>-30</v>
      </c>
      <c r="X73" s="4"/>
      <c r="Y73" s="4"/>
      <c r="Z73" s="4"/>
      <c r="AA73" s="60">
        <f>SUM(D73:Z73)</f>
        <v>2238</v>
      </c>
      <c r="AB73" s="60">
        <f>COUNT(D73:Z73)</f>
        <v>16</v>
      </c>
    </row>
    <row r="74" spans="1:28" s="60" customFormat="1" ht="16" customHeight="1" x14ac:dyDescent="0.2">
      <c r="A74" s="142" t="str">
        <f t="shared" ref="A74" si="80">B73&amp;"2"</f>
        <v>Andy Murray2</v>
      </c>
      <c r="B74" s="189"/>
      <c r="C74" s="67" t="s">
        <v>3</v>
      </c>
      <c r="D74" s="4"/>
      <c r="E74" s="3">
        <v>-25</v>
      </c>
      <c r="F74" s="4"/>
      <c r="G74" s="3">
        <v>33</v>
      </c>
      <c r="H74" s="5">
        <v>122</v>
      </c>
      <c r="I74" s="3">
        <v>161</v>
      </c>
      <c r="J74" s="8">
        <v>177</v>
      </c>
      <c r="K74" s="5">
        <v>221</v>
      </c>
      <c r="L74" s="4"/>
      <c r="M74" s="8">
        <v>225</v>
      </c>
      <c r="N74" s="8">
        <v>295</v>
      </c>
      <c r="O74" s="7">
        <v>367</v>
      </c>
      <c r="P74" s="8">
        <v>304</v>
      </c>
      <c r="Q74" s="4"/>
      <c r="R74" s="4"/>
      <c r="S74" s="3">
        <v>-16</v>
      </c>
      <c r="T74" s="4"/>
      <c r="U74" s="4"/>
      <c r="V74" s="4"/>
      <c r="W74" s="3">
        <v>-98</v>
      </c>
      <c r="X74" s="4"/>
      <c r="Y74" s="4"/>
      <c r="Z74" s="4"/>
      <c r="AA74" s="60">
        <f>SUM(D74:Z74)</f>
        <v>1766</v>
      </c>
      <c r="AB74" s="60">
        <f>COUNT(D74:Z74)</f>
        <v>12</v>
      </c>
    </row>
    <row r="75" spans="1:28" s="60" customFormat="1" ht="16" customHeight="1" x14ac:dyDescent="0.2">
      <c r="A75" s="142" t="str">
        <f t="shared" ref="A75" si="81">B73&amp;"3"</f>
        <v>Andy Murray3</v>
      </c>
      <c r="B75" s="189"/>
      <c r="C75" s="67" t="s">
        <v>4</v>
      </c>
      <c r="D75" s="3">
        <v>69</v>
      </c>
      <c r="E75" s="3">
        <v>151</v>
      </c>
      <c r="F75" s="4"/>
      <c r="G75" s="5">
        <v>209</v>
      </c>
      <c r="H75" s="8">
        <v>216</v>
      </c>
      <c r="I75" s="8">
        <v>307</v>
      </c>
      <c r="J75" s="8">
        <v>283</v>
      </c>
      <c r="K75" s="7">
        <v>451</v>
      </c>
      <c r="L75" s="6">
        <v>452</v>
      </c>
      <c r="M75" s="5">
        <v>161</v>
      </c>
      <c r="N75" s="8">
        <v>377</v>
      </c>
      <c r="O75" s="6">
        <v>442</v>
      </c>
      <c r="P75" s="5">
        <v>122</v>
      </c>
      <c r="Q75" s="4"/>
      <c r="R75" s="4"/>
      <c r="S75" s="4"/>
      <c r="T75" s="3">
        <v>67</v>
      </c>
      <c r="U75" s="3">
        <v>6</v>
      </c>
      <c r="V75" s="3">
        <v>-4</v>
      </c>
      <c r="W75" s="4"/>
      <c r="X75" s="4"/>
      <c r="Y75" s="4"/>
      <c r="Z75" s="4"/>
      <c r="AA75" s="60">
        <f>SUM(D75:Z75)</f>
        <v>3309</v>
      </c>
      <c r="AB75" s="60">
        <f>COUNT(D75:Z75)</f>
        <v>15</v>
      </c>
    </row>
    <row r="76" spans="1:28" s="60" customFormat="1" ht="16" customHeight="1" x14ac:dyDescent="0.2">
      <c r="A76" s="142" t="str">
        <f t="shared" ref="A76" si="82">B73&amp;"4"</f>
        <v>Andy Murray4</v>
      </c>
      <c r="B76" s="189"/>
      <c r="C76" s="67" t="s">
        <v>5</v>
      </c>
      <c r="D76" s="3">
        <v>-38</v>
      </c>
      <c r="E76" s="3">
        <v>90</v>
      </c>
      <c r="F76" s="3">
        <v>3</v>
      </c>
      <c r="G76" s="7">
        <v>415</v>
      </c>
      <c r="H76" s="3">
        <v>3</v>
      </c>
      <c r="I76" s="3">
        <v>5</v>
      </c>
      <c r="J76" s="8">
        <v>261</v>
      </c>
      <c r="K76" s="6">
        <v>513</v>
      </c>
      <c r="L76" s="5">
        <v>159</v>
      </c>
      <c r="M76" s="5">
        <v>135</v>
      </c>
      <c r="N76" s="3">
        <v>183</v>
      </c>
      <c r="O76" s="5">
        <v>216</v>
      </c>
      <c r="P76" s="4"/>
      <c r="Q76" s="3">
        <v>-30</v>
      </c>
      <c r="R76" s="4"/>
      <c r="S76" s="3">
        <v>36</v>
      </c>
      <c r="T76" s="3">
        <v>-3</v>
      </c>
      <c r="U76" s="3">
        <v>64</v>
      </c>
      <c r="V76" s="3">
        <v>9</v>
      </c>
      <c r="W76" s="4"/>
      <c r="X76" s="4"/>
      <c r="Y76" s="4"/>
      <c r="Z76" s="4"/>
      <c r="AA76" s="60">
        <f>SUM(D76:Z76)</f>
        <v>2021</v>
      </c>
      <c r="AB76" s="60">
        <f>COUNT(D76:Z76)</f>
        <v>17</v>
      </c>
    </row>
    <row r="77" spans="1:28" s="60" customFormat="1" ht="16" customHeight="1" x14ac:dyDescent="0.2">
      <c r="A77" s="142" t="str">
        <f t="shared" ref="A77" si="83">B73&amp;"5"</f>
        <v>Andy Murray5</v>
      </c>
      <c r="B77" s="189"/>
      <c r="C77" s="67">
        <f>SUM(D77:Z77)</f>
        <v>9334</v>
      </c>
      <c r="D77" s="60">
        <f>SUM(D73:D76)</f>
        <v>31</v>
      </c>
      <c r="E77" s="60">
        <f t="shared" ref="E77:Z77" si="84">SUM(E73:E76)</f>
        <v>165</v>
      </c>
      <c r="F77" s="60">
        <f t="shared" si="84"/>
        <v>173</v>
      </c>
      <c r="G77" s="60">
        <f t="shared" si="84"/>
        <v>619</v>
      </c>
      <c r="H77" s="60">
        <f t="shared" si="84"/>
        <v>446</v>
      </c>
      <c r="I77" s="60">
        <f t="shared" si="84"/>
        <v>833</v>
      </c>
      <c r="J77" s="60">
        <f t="shared" si="84"/>
        <v>1074</v>
      </c>
      <c r="K77" s="60">
        <f t="shared" si="84"/>
        <v>1366</v>
      </c>
      <c r="L77" s="60">
        <f t="shared" si="84"/>
        <v>937</v>
      </c>
      <c r="M77" s="60">
        <f t="shared" si="84"/>
        <v>602</v>
      </c>
      <c r="N77" s="60">
        <f t="shared" si="84"/>
        <v>1179</v>
      </c>
      <c r="O77" s="60">
        <f t="shared" si="84"/>
        <v>1435</v>
      </c>
      <c r="P77" s="60">
        <f t="shared" si="84"/>
        <v>451</v>
      </c>
      <c r="Q77" s="60">
        <f t="shared" si="84"/>
        <v>-30</v>
      </c>
      <c r="R77" s="4">
        <f t="shared" si="84"/>
        <v>-22</v>
      </c>
      <c r="S77" s="60">
        <f t="shared" si="84"/>
        <v>20</v>
      </c>
      <c r="T77" s="60">
        <f t="shared" si="84"/>
        <v>64</v>
      </c>
      <c r="U77" s="60">
        <f t="shared" si="84"/>
        <v>50</v>
      </c>
      <c r="V77" s="60">
        <f t="shared" si="84"/>
        <v>69</v>
      </c>
      <c r="W77" s="60">
        <f t="shared" si="84"/>
        <v>-128</v>
      </c>
      <c r="X77" s="60">
        <f t="shared" si="84"/>
        <v>0</v>
      </c>
      <c r="Y77" s="60">
        <f t="shared" si="84"/>
        <v>0</v>
      </c>
      <c r="Z77" s="60">
        <f t="shared" si="84"/>
        <v>0</v>
      </c>
    </row>
    <row r="78" spans="1:28" s="60" customFormat="1" ht="16" customHeight="1" x14ac:dyDescent="0.2">
      <c r="A78" s="142" t="str">
        <f t="shared" ref="A78" si="85">B78&amp;"1"</f>
        <v>Gustavo Kuerten1</v>
      </c>
      <c r="B78" s="189" t="s">
        <v>113</v>
      </c>
      <c r="C78" s="67" t="s">
        <v>2</v>
      </c>
      <c r="D78" s="4"/>
      <c r="E78" s="3">
        <v>-40</v>
      </c>
      <c r="F78" s="3">
        <v>-78</v>
      </c>
      <c r="G78" s="3">
        <v>-46</v>
      </c>
      <c r="H78" s="3">
        <v>-91</v>
      </c>
      <c r="I78" s="3">
        <v>-3</v>
      </c>
      <c r="J78" s="3">
        <v>-49</v>
      </c>
      <c r="K78" s="3">
        <v>-68</v>
      </c>
      <c r="L78" s="3">
        <v>57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64">
        <f>SUM(D78:Z78)</f>
        <v>-318</v>
      </c>
      <c r="AB78" s="64">
        <f>COUNT(D78:Z78)</f>
        <v>8</v>
      </c>
    </row>
    <row r="79" spans="1:28" s="64" customFormat="1" ht="16" customHeight="1" x14ac:dyDescent="0.2">
      <c r="A79" s="142" t="str">
        <f t="shared" ref="A79" si="86">B78&amp;"2"</f>
        <v>Gustavo Kuerten2</v>
      </c>
      <c r="B79" s="189"/>
      <c r="C79" s="67" t="s">
        <v>3</v>
      </c>
      <c r="D79" s="3">
        <v>-10</v>
      </c>
      <c r="E79" s="6">
        <v>511</v>
      </c>
      <c r="F79" s="3">
        <v>-98</v>
      </c>
      <c r="G79" s="5">
        <v>26</v>
      </c>
      <c r="H79" s="6">
        <v>531</v>
      </c>
      <c r="I79" s="6">
        <v>429</v>
      </c>
      <c r="J79" s="3">
        <v>90</v>
      </c>
      <c r="K79" s="3">
        <v>61</v>
      </c>
      <c r="L79" s="5">
        <v>180</v>
      </c>
      <c r="M79" s="3">
        <v>-99</v>
      </c>
      <c r="N79" s="4"/>
      <c r="O79" s="4"/>
      <c r="P79" s="3">
        <v>-18</v>
      </c>
      <c r="Q79" s="4"/>
      <c r="R79" s="4"/>
      <c r="S79" s="4"/>
      <c r="T79" s="4"/>
      <c r="U79" s="4"/>
      <c r="V79" s="4"/>
      <c r="W79" s="4"/>
      <c r="X79" s="4"/>
      <c r="Y79" s="4"/>
      <c r="Z79" s="4"/>
      <c r="AA79" s="64">
        <f>SUM(D79:Z79)</f>
        <v>1603</v>
      </c>
      <c r="AB79" s="64">
        <f>COUNT(D79:Z79)</f>
        <v>11</v>
      </c>
    </row>
    <row r="80" spans="1:28" s="64" customFormat="1" ht="16" customHeight="1" x14ac:dyDescent="0.2">
      <c r="A80" s="142" t="str">
        <f t="shared" ref="A80" si="87">B78&amp;"3"</f>
        <v>Gustavo Kuerten3</v>
      </c>
      <c r="B80" s="189"/>
      <c r="C80" s="67" t="s">
        <v>4</v>
      </c>
      <c r="D80" s="4"/>
      <c r="E80" s="3">
        <v>-99</v>
      </c>
      <c r="F80" s="3">
        <v>-43</v>
      </c>
      <c r="G80" s="5">
        <v>52</v>
      </c>
      <c r="H80" s="3">
        <v>-44</v>
      </c>
      <c r="I80" s="4"/>
      <c r="J80" s="4"/>
      <c r="K80" s="3">
        <v>-88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64">
        <f>SUM(D80:Z80)</f>
        <v>-222</v>
      </c>
      <c r="AB80" s="64">
        <f>COUNT(D80:Z80)</f>
        <v>5</v>
      </c>
    </row>
    <row r="81" spans="1:28" s="64" customFormat="1" ht="16" customHeight="1" x14ac:dyDescent="0.2">
      <c r="A81" s="142" t="str">
        <f t="shared" ref="A81" si="88">B78&amp;"4"</f>
        <v>Gustavo Kuerten4</v>
      </c>
      <c r="B81" s="189"/>
      <c r="C81" s="67" t="s">
        <v>5</v>
      </c>
      <c r="D81" s="4"/>
      <c r="E81" s="3">
        <v>37</v>
      </c>
      <c r="F81" s="3">
        <v>-98</v>
      </c>
      <c r="G81" s="5">
        <v>152</v>
      </c>
      <c r="H81" s="3">
        <v>-99</v>
      </c>
      <c r="I81" s="5">
        <v>129</v>
      </c>
      <c r="J81" s="3">
        <v>155</v>
      </c>
      <c r="K81" s="3">
        <v>-99</v>
      </c>
      <c r="L81" s="3">
        <v>-99</v>
      </c>
      <c r="M81" s="3">
        <v>16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64">
        <f>SUM(D81:Z81)</f>
        <v>94</v>
      </c>
      <c r="AB81" s="64">
        <f>COUNT(D81:Z81)</f>
        <v>9</v>
      </c>
    </row>
    <row r="82" spans="1:28" s="64" customFormat="1" ht="16" customHeight="1" x14ac:dyDescent="0.2">
      <c r="A82" s="142" t="str">
        <f t="shared" ref="A82" si="89">B78&amp;"5"</f>
        <v>Gustavo Kuerten5</v>
      </c>
      <c r="B82" s="189"/>
      <c r="C82" s="67">
        <f>SUM(D82:Z82)</f>
        <v>1157</v>
      </c>
      <c r="D82" s="64">
        <f>SUM(D78:D81)</f>
        <v>-10</v>
      </c>
      <c r="E82" s="64">
        <f t="shared" ref="E82:Z82" si="90">SUM(E78:E81)</f>
        <v>409</v>
      </c>
      <c r="F82" s="64">
        <f t="shared" si="90"/>
        <v>-317</v>
      </c>
      <c r="G82" s="64">
        <f t="shared" si="90"/>
        <v>184</v>
      </c>
      <c r="H82" s="64">
        <f t="shared" si="90"/>
        <v>297</v>
      </c>
      <c r="I82" s="64">
        <f t="shared" si="90"/>
        <v>555</v>
      </c>
      <c r="J82" s="64">
        <f t="shared" si="90"/>
        <v>196</v>
      </c>
      <c r="K82" s="64">
        <f t="shared" si="90"/>
        <v>-194</v>
      </c>
      <c r="L82" s="64">
        <f t="shared" si="90"/>
        <v>138</v>
      </c>
      <c r="M82" s="64">
        <f t="shared" si="90"/>
        <v>-83</v>
      </c>
      <c r="N82" s="64">
        <f t="shared" si="90"/>
        <v>0</v>
      </c>
      <c r="O82" s="64">
        <f t="shared" si="90"/>
        <v>0</v>
      </c>
      <c r="P82" s="64">
        <f t="shared" si="90"/>
        <v>-18</v>
      </c>
      <c r="Q82" s="64">
        <f t="shared" si="90"/>
        <v>0</v>
      </c>
      <c r="R82" s="4">
        <f t="shared" si="90"/>
        <v>0</v>
      </c>
      <c r="S82" s="64">
        <f t="shared" si="90"/>
        <v>0</v>
      </c>
      <c r="T82" s="64">
        <f t="shared" si="90"/>
        <v>0</v>
      </c>
      <c r="U82" s="64">
        <f t="shared" si="90"/>
        <v>0</v>
      </c>
      <c r="V82" s="64">
        <f t="shared" si="90"/>
        <v>0</v>
      </c>
      <c r="W82" s="64">
        <f t="shared" si="90"/>
        <v>0</v>
      </c>
      <c r="X82" s="64">
        <f t="shared" si="90"/>
        <v>0</v>
      </c>
      <c r="Y82" s="64">
        <f t="shared" si="90"/>
        <v>0</v>
      </c>
      <c r="Z82" s="64">
        <f t="shared" si="90"/>
        <v>0</v>
      </c>
    </row>
    <row r="83" spans="1:28" s="64" customFormat="1" ht="16" customHeight="1" x14ac:dyDescent="0.2">
      <c r="A83" s="142" t="str">
        <f t="shared" ref="A83" si="91">B83&amp;"1"</f>
        <v>Stan Wawrinka1</v>
      </c>
      <c r="B83" s="189" t="s">
        <v>114</v>
      </c>
      <c r="C83" s="67" t="s">
        <v>2</v>
      </c>
      <c r="D83" s="4"/>
      <c r="E83" s="3">
        <v>24</v>
      </c>
      <c r="F83" s="3">
        <v>3</v>
      </c>
      <c r="G83" s="3">
        <v>-38</v>
      </c>
      <c r="H83" s="3">
        <v>-18</v>
      </c>
      <c r="I83" s="3">
        <v>43</v>
      </c>
      <c r="J83" s="5">
        <v>211</v>
      </c>
      <c r="K83" s="3">
        <v>62</v>
      </c>
      <c r="L83" s="3">
        <v>90</v>
      </c>
      <c r="M83" s="6">
        <v>523</v>
      </c>
      <c r="N83" s="8">
        <v>207</v>
      </c>
      <c r="O83" s="3">
        <v>38</v>
      </c>
      <c r="P83" s="8">
        <v>309</v>
      </c>
      <c r="Q83" s="3">
        <v>-96</v>
      </c>
      <c r="R83" s="3">
        <v>-2</v>
      </c>
      <c r="S83" s="5">
        <v>203</v>
      </c>
      <c r="T83" s="3">
        <v>-54</v>
      </c>
      <c r="V83" s="3">
        <v>-53</v>
      </c>
      <c r="W83" s="3">
        <v>-20</v>
      </c>
      <c r="X83" s="4"/>
      <c r="Y83" s="4"/>
      <c r="Z83" s="4"/>
      <c r="AA83" s="64">
        <f>SUM(D83:Z83)</f>
        <v>1432</v>
      </c>
      <c r="AB83" s="64">
        <f>COUNT(D83:Z83)</f>
        <v>18</v>
      </c>
    </row>
    <row r="84" spans="1:28" s="64" customFormat="1" ht="16" customHeight="1" x14ac:dyDescent="0.2">
      <c r="A84" s="142" t="str">
        <f t="shared" ref="A84" si="92">B83&amp;"2"</f>
        <v>Stan Wawrinka2</v>
      </c>
      <c r="B84" s="189"/>
      <c r="C84" s="67" t="s">
        <v>3</v>
      </c>
      <c r="D84" s="3">
        <v>42</v>
      </c>
      <c r="E84" s="3">
        <v>-3</v>
      </c>
      <c r="F84" s="3">
        <v>30</v>
      </c>
      <c r="G84" s="3">
        <v>87</v>
      </c>
      <c r="H84" s="3">
        <v>31</v>
      </c>
      <c r="I84" s="3">
        <v>58</v>
      </c>
      <c r="J84" s="3">
        <v>82</v>
      </c>
      <c r="K84" s="3">
        <v>173</v>
      </c>
      <c r="L84" s="5">
        <v>238</v>
      </c>
      <c r="M84" s="3">
        <v>-41</v>
      </c>
      <c r="N84" s="6">
        <v>517</v>
      </c>
      <c r="O84" s="8">
        <v>259</v>
      </c>
      <c r="P84" s="7">
        <v>387</v>
      </c>
      <c r="Q84" s="3">
        <v>-67</v>
      </c>
      <c r="R84" s="5">
        <v>219</v>
      </c>
      <c r="S84" s="3">
        <v>-60</v>
      </c>
      <c r="U84" s="3">
        <v>-99</v>
      </c>
      <c r="V84" s="3">
        <v>-66</v>
      </c>
      <c r="W84" s="3">
        <v>-25</v>
      </c>
      <c r="X84" s="4"/>
      <c r="Y84" s="4"/>
      <c r="Z84" s="4"/>
      <c r="AA84" s="64">
        <f>SUM(D84:Z84)</f>
        <v>1762</v>
      </c>
      <c r="AB84" s="64">
        <f>COUNT(D84:Z84)</f>
        <v>19</v>
      </c>
    </row>
    <row r="85" spans="1:28" s="64" customFormat="1" ht="16" customHeight="1" x14ac:dyDescent="0.2">
      <c r="A85" s="142" t="str">
        <f t="shared" ref="A85" si="93">B83&amp;"3"</f>
        <v>Stan Wawrinka3</v>
      </c>
      <c r="B85" s="189"/>
      <c r="C85" s="67" t="s">
        <v>4</v>
      </c>
      <c r="D85" s="3">
        <v>-53</v>
      </c>
      <c r="E85" s="3">
        <v>75</v>
      </c>
      <c r="F85" s="3">
        <v>-68</v>
      </c>
      <c r="G85" s="3">
        <v>-5</v>
      </c>
      <c r="H85" s="3">
        <v>42</v>
      </c>
      <c r="I85" s="3">
        <v>-70</v>
      </c>
      <c r="J85" s="3">
        <v>-48</v>
      </c>
      <c r="K85" s="3">
        <v>-35</v>
      </c>
      <c r="L85" s="3">
        <v>-70</v>
      </c>
      <c r="M85" s="5">
        <v>254</v>
      </c>
      <c r="N85" s="5">
        <v>236</v>
      </c>
      <c r="O85" s="3">
        <v>-64</v>
      </c>
      <c r="P85" s="3">
        <v>-52</v>
      </c>
      <c r="Q85" s="3">
        <v>-5</v>
      </c>
      <c r="R85" s="3">
        <v>-62</v>
      </c>
      <c r="S85" s="4"/>
      <c r="U85" s="3">
        <v>-10</v>
      </c>
      <c r="V85" s="3">
        <v>122</v>
      </c>
      <c r="W85" s="4"/>
      <c r="X85" s="4"/>
      <c r="Y85" s="4"/>
      <c r="Z85" s="4"/>
      <c r="AA85" s="64">
        <f>SUM(D85:Z85)</f>
        <v>187</v>
      </c>
      <c r="AB85" s="64">
        <f>COUNT(D85:Z85)</f>
        <v>17</v>
      </c>
    </row>
    <row r="86" spans="1:28" s="64" customFormat="1" ht="16" customHeight="1" x14ac:dyDescent="0.2">
      <c r="A86" s="142" t="str">
        <f t="shared" ref="A86" si="94">B83&amp;"4"</f>
        <v>Stan Wawrinka4</v>
      </c>
      <c r="B86" s="189"/>
      <c r="C86" s="67" t="s">
        <v>5</v>
      </c>
      <c r="D86" s="3">
        <v>33</v>
      </c>
      <c r="E86" s="3">
        <v>129</v>
      </c>
      <c r="F86" s="3">
        <v>110</v>
      </c>
      <c r="G86" s="3">
        <v>49</v>
      </c>
      <c r="H86" s="3">
        <v>-99</v>
      </c>
      <c r="I86" s="5">
        <v>238</v>
      </c>
      <c r="J86" s="3">
        <v>-98</v>
      </c>
      <c r="K86" s="3">
        <v>112</v>
      </c>
      <c r="L86" s="8">
        <v>301</v>
      </c>
      <c r="M86" s="5">
        <v>126</v>
      </c>
      <c r="N86" s="8">
        <v>209</v>
      </c>
      <c r="O86" s="6">
        <v>372</v>
      </c>
      <c r="P86" s="4"/>
      <c r="Q86" s="3">
        <v>68</v>
      </c>
      <c r="R86" s="5">
        <v>132</v>
      </c>
      <c r="S86" s="4"/>
      <c r="U86" s="3">
        <v>-99</v>
      </c>
      <c r="V86" s="3">
        <v>120</v>
      </c>
      <c r="W86" s="4"/>
      <c r="X86" s="4"/>
      <c r="Y86" s="4"/>
      <c r="Z86" s="4"/>
      <c r="AA86" s="64">
        <f>SUM(D86:Z86)</f>
        <v>1703</v>
      </c>
      <c r="AB86" s="64">
        <f>COUNT(D86:Z86)</f>
        <v>16</v>
      </c>
    </row>
    <row r="87" spans="1:28" s="64" customFormat="1" ht="16" customHeight="1" x14ac:dyDescent="0.2">
      <c r="A87" s="142" t="str">
        <f t="shared" ref="A87" si="95">B83&amp;"5"</f>
        <v>Stan Wawrinka5</v>
      </c>
      <c r="B87" s="189"/>
      <c r="C87" s="67">
        <f>SUM(D87:Z87)</f>
        <v>5084</v>
      </c>
      <c r="D87" s="64">
        <f>SUM(D83:D86)</f>
        <v>22</v>
      </c>
      <c r="E87" s="64">
        <f t="shared" ref="E87:Z87" si="96">SUM(E83:E86)</f>
        <v>225</v>
      </c>
      <c r="F87" s="64">
        <f t="shared" si="96"/>
        <v>75</v>
      </c>
      <c r="G87" s="64">
        <f t="shared" si="96"/>
        <v>93</v>
      </c>
      <c r="H87" s="64">
        <f t="shared" si="96"/>
        <v>-44</v>
      </c>
      <c r="I87" s="64">
        <f t="shared" si="96"/>
        <v>269</v>
      </c>
      <c r="J87" s="64">
        <f t="shared" si="96"/>
        <v>147</v>
      </c>
      <c r="K87" s="64">
        <f t="shared" si="96"/>
        <v>312</v>
      </c>
      <c r="L87" s="64">
        <f t="shared" si="96"/>
        <v>559</v>
      </c>
      <c r="M87" s="64">
        <f t="shared" si="96"/>
        <v>862</v>
      </c>
      <c r="N87" s="64">
        <f t="shared" si="96"/>
        <v>1169</v>
      </c>
      <c r="O87" s="64">
        <f t="shared" si="96"/>
        <v>605</v>
      </c>
      <c r="P87" s="64">
        <f t="shared" si="96"/>
        <v>644</v>
      </c>
      <c r="Q87" s="64">
        <f t="shared" si="96"/>
        <v>-100</v>
      </c>
      <c r="R87" s="4">
        <f t="shared" si="96"/>
        <v>287</v>
      </c>
      <c r="S87" s="64">
        <f t="shared" si="96"/>
        <v>143</v>
      </c>
      <c r="T87" s="64">
        <f t="shared" si="96"/>
        <v>-54</v>
      </c>
      <c r="U87" s="64">
        <f>SUM(U83:U86)</f>
        <v>-208</v>
      </c>
      <c r="V87" s="64">
        <f>SUM(V83:V86)</f>
        <v>123</v>
      </c>
      <c r="W87" s="64">
        <f t="shared" si="96"/>
        <v>-45</v>
      </c>
      <c r="X87" s="64">
        <f t="shared" si="96"/>
        <v>0</v>
      </c>
      <c r="Y87" s="64">
        <f t="shared" si="96"/>
        <v>0</v>
      </c>
      <c r="Z87" s="64">
        <f t="shared" si="96"/>
        <v>0</v>
      </c>
    </row>
    <row r="88" spans="1:28" s="64" customFormat="1" ht="16" customHeight="1" x14ac:dyDescent="0.2">
      <c r="A88" s="142" t="str">
        <f t="shared" ref="A88" si="97">B88&amp;"1"</f>
        <v>Rod Laver1</v>
      </c>
      <c r="B88" s="189" t="s">
        <v>144</v>
      </c>
      <c r="C88" s="70" t="s">
        <v>2</v>
      </c>
      <c r="D88" s="4"/>
      <c r="E88" s="6">
        <v>460</v>
      </c>
      <c r="F88" s="4"/>
      <c r="G88" s="3">
        <v>90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70">
        <f>SUM(D88:Z88)</f>
        <v>550</v>
      </c>
      <c r="AB88" s="70">
        <f>COUNT(D88:Z88)</f>
        <v>2</v>
      </c>
    </row>
    <row r="89" spans="1:28" s="70" customFormat="1" ht="16" customHeight="1" x14ac:dyDescent="0.2">
      <c r="A89" s="142" t="str">
        <f t="shared" ref="A89" si="98">B88&amp;"2"</f>
        <v>Rod Laver2</v>
      </c>
      <c r="B89" s="189"/>
      <c r="C89" s="70" t="s">
        <v>3</v>
      </c>
      <c r="D89" s="7">
        <v>352</v>
      </c>
      <c r="E89" s="6">
        <v>523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70">
        <f>SUM(D89:Z89)</f>
        <v>875</v>
      </c>
      <c r="AB89" s="70">
        <f>COUNT(D89:Z89)</f>
        <v>2</v>
      </c>
    </row>
    <row r="90" spans="1:28" s="70" customFormat="1" ht="16" customHeight="1" x14ac:dyDescent="0.2">
      <c r="A90" s="142" t="str">
        <f t="shared" ref="A90" si="99">B88&amp;"3"</f>
        <v>Rod Laver3</v>
      </c>
      <c r="B90" s="189"/>
      <c r="C90" s="70" t="s">
        <v>4</v>
      </c>
      <c r="D90" s="6">
        <v>500</v>
      </c>
      <c r="E90" s="6">
        <v>520</v>
      </c>
      <c r="F90" s="3">
        <v>89</v>
      </c>
      <c r="G90" s="5">
        <v>181</v>
      </c>
      <c r="H90" s="4"/>
      <c r="I90" s="4"/>
      <c r="J90" s="4"/>
      <c r="K90" s="4"/>
      <c r="L90" s="4"/>
      <c r="M90" s="3">
        <v>-8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70">
        <f>SUM(D90:Z90)</f>
        <v>1282</v>
      </c>
      <c r="AB90" s="70">
        <f>COUNT(D90:Z90)</f>
        <v>5</v>
      </c>
    </row>
    <row r="91" spans="1:28" s="70" customFormat="1" ht="16" customHeight="1" x14ac:dyDescent="0.2">
      <c r="A91" s="142" t="str">
        <f t="shared" ref="A91" si="100">B88&amp;"4"</f>
        <v>Rod Laver4</v>
      </c>
      <c r="B91" s="189"/>
      <c r="C91" s="70" t="s">
        <v>5</v>
      </c>
      <c r="D91" s="3">
        <v>89</v>
      </c>
      <c r="E91" s="6">
        <v>523</v>
      </c>
      <c r="F91" s="3">
        <v>86</v>
      </c>
      <c r="G91" s="4"/>
      <c r="H91" s="3">
        <v>69</v>
      </c>
      <c r="I91" s="3">
        <v>58</v>
      </c>
      <c r="J91" s="4"/>
      <c r="K91" s="3">
        <v>174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70">
        <f>SUM(D91:Z91)</f>
        <v>999</v>
      </c>
      <c r="AB91" s="70">
        <f>COUNT(D91:Z91)</f>
        <v>6</v>
      </c>
    </row>
    <row r="92" spans="1:28" s="70" customFormat="1" ht="16" customHeight="1" x14ac:dyDescent="0.2">
      <c r="A92" s="142" t="str">
        <f t="shared" ref="A92" si="101">B88&amp;"5"</f>
        <v>Rod Laver5</v>
      </c>
      <c r="B92" s="189"/>
      <c r="C92" s="70">
        <f>SUM(D92:Z92)</f>
        <v>3706</v>
      </c>
      <c r="D92" s="70">
        <f>SUM(D88:D91)</f>
        <v>941</v>
      </c>
      <c r="E92" s="70">
        <f t="shared" ref="E92:Z92" si="102">SUM(E88:E91)</f>
        <v>2026</v>
      </c>
      <c r="F92" s="70">
        <f t="shared" si="102"/>
        <v>175</v>
      </c>
      <c r="G92" s="70">
        <f t="shared" si="102"/>
        <v>271</v>
      </c>
      <c r="H92" s="70">
        <f t="shared" si="102"/>
        <v>69</v>
      </c>
      <c r="I92" s="70">
        <f t="shared" si="102"/>
        <v>58</v>
      </c>
      <c r="J92" s="70">
        <f t="shared" si="102"/>
        <v>0</v>
      </c>
      <c r="K92" s="70">
        <f t="shared" si="102"/>
        <v>174</v>
      </c>
      <c r="L92" s="70">
        <f t="shared" si="102"/>
        <v>0</v>
      </c>
      <c r="M92" s="70">
        <f t="shared" si="102"/>
        <v>-8</v>
      </c>
      <c r="N92" s="70">
        <f t="shared" si="102"/>
        <v>0</v>
      </c>
      <c r="O92" s="70">
        <f t="shared" si="102"/>
        <v>0</v>
      </c>
      <c r="P92" s="70">
        <f t="shared" si="102"/>
        <v>0</v>
      </c>
      <c r="Q92" s="70">
        <f t="shared" si="102"/>
        <v>0</v>
      </c>
      <c r="R92" s="4">
        <f t="shared" si="102"/>
        <v>0</v>
      </c>
      <c r="S92" s="70">
        <f t="shared" si="102"/>
        <v>0</v>
      </c>
      <c r="T92" s="70">
        <f t="shared" si="102"/>
        <v>0</v>
      </c>
      <c r="U92" s="70">
        <f t="shared" si="102"/>
        <v>0</v>
      </c>
      <c r="V92" s="70">
        <f t="shared" si="102"/>
        <v>0</v>
      </c>
      <c r="W92" s="70">
        <f t="shared" si="102"/>
        <v>0</v>
      </c>
      <c r="X92" s="70">
        <f t="shared" si="102"/>
        <v>0</v>
      </c>
      <c r="Y92" s="70">
        <f t="shared" si="102"/>
        <v>0</v>
      </c>
      <c r="Z92" s="70">
        <f t="shared" si="102"/>
        <v>0</v>
      </c>
    </row>
    <row r="93" spans="1:28" s="70" customFormat="1" ht="16" customHeight="1" x14ac:dyDescent="0.2">
      <c r="A93" s="142" t="str">
        <f t="shared" ref="A93" si="103">B93&amp;"1"</f>
        <v>John Newcombe1</v>
      </c>
      <c r="B93" s="189" t="s">
        <v>149</v>
      </c>
      <c r="C93" s="74" t="s">
        <v>2</v>
      </c>
      <c r="D93" s="4"/>
      <c r="E93" s="5">
        <v>141</v>
      </c>
      <c r="F93" s="5">
        <v>74</v>
      </c>
      <c r="G93" s="3">
        <v>98</v>
      </c>
      <c r="H93" s="5">
        <v>132</v>
      </c>
      <c r="I93" s="6">
        <v>407</v>
      </c>
      <c r="J93" s="5">
        <v>167</v>
      </c>
      <c r="K93" s="6">
        <v>380</v>
      </c>
      <c r="L93" s="7">
        <v>230</v>
      </c>
      <c r="M93" s="5">
        <v>226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74">
        <f>SUM(D93:Z93)</f>
        <v>1855</v>
      </c>
      <c r="AB93" s="74">
        <f>COUNT(D93:Z93)</f>
        <v>9</v>
      </c>
    </row>
    <row r="94" spans="1:28" s="74" customFormat="1" ht="16" customHeight="1" x14ac:dyDescent="0.2">
      <c r="A94" s="142" t="str">
        <f t="shared" ref="A94" si="104">B93&amp;"2"</f>
        <v>John Newcombe2</v>
      </c>
      <c r="B94" s="189"/>
      <c r="C94" s="74" t="s">
        <v>3</v>
      </c>
      <c r="D94" s="4"/>
      <c r="E94" s="5">
        <v>227</v>
      </c>
      <c r="F94" s="4"/>
      <c r="G94" s="4"/>
      <c r="H94" s="4"/>
      <c r="I94" s="3">
        <v>-87</v>
      </c>
      <c r="J94" s="4"/>
      <c r="K94" s="4"/>
      <c r="L94" s="3">
        <v>-45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74">
        <f>SUM(D94:Z94)</f>
        <v>95</v>
      </c>
      <c r="AB94" s="74">
        <f>COUNT(D94:Z94)</f>
        <v>3</v>
      </c>
    </row>
    <row r="95" spans="1:28" s="74" customFormat="1" ht="16" customHeight="1" x14ac:dyDescent="0.2">
      <c r="A95" s="142" t="str">
        <f t="shared" ref="A95" si="105">B93&amp;"3"</f>
        <v>John Newcombe3</v>
      </c>
      <c r="B95" s="189"/>
      <c r="C95" s="74" t="s">
        <v>4</v>
      </c>
      <c r="D95" s="3">
        <v>66</v>
      </c>
      <c r="E95" s="7">
        <v>470</v>
      </c>
      <c r="F95" s="6">
        <v>409</v>
      </c>
      <c r="G95" s="6">
        <v>414</v>
      </c>
      <c r="H95" s="4"/>
      <c r="I95" s="4"/>
      <c r="J95" s="5">
        <v>232</v>
      </c>
      <c r="K95" s="4"/>
      <c r="L95" s="3">
        <v>-58</v>
      </c>
      <c r="M95" s="4"/>
      <c r="N95" s="3">
        <v>62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74">
        <f>SUM(D95:Z95)</f>
        <v>1595</v>
      </c>
      <c r="AB95" s="74">
        <f>COUNT(D95:Z95)</f>
        <v>7</v>
      </c>
    </row>
    <row r="96" spans="1:28" s="74" customFormat="1" ht="16" customHeight="1" x14ac:dyDescent="0.2">
      <c r="A96" s="142" t="str">
        <f t="shared" ref="A96" si="106">B93&amp;"4"</f>
        <v>John Newcombe4</v>
      </c>
      <c r="B96" s="189"/>
      <c r="C96" s="74" t="s">
        <v>5</v>
      </c>
      <c r="D96" s="5">
        <v>183</v>
      </c>
      <c r="E96" s="8">
        <v>227</v>
      </c>
      <c r="F96" s="8">
        <v>246</v>
      </c>
      <c r="G96" s="3">
        <v>-11</v>
      </c>
      <c r="H96" s="3">
        <v>20</v>
      </c>
      <c r="I96" s="6">
        <v>400</v>
      </c>
      <c r="J96" s="8">
        <v>233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74">
        <f>SUM(D96:Z96)</f>
        <v>1298</v>
      </c>
      <c r="AB96" s="74">
        <f>COUNT(D96:Z96)</f>
        <v>7</v>
      </c>
    </row>
    <row r="97" spans="1:28" s="74" customFormat="1" ht="16" customHeight="1" x14ac:dyDescent="0.2">
      <c r="A97" s="142" t="str">
        <f t="shared" ref="A97" si="107">B93&amp;"5"</f>
        <v>John Newcombe5</v>
      </c>
      <c r="B97" s="189"/>
      <c r="C97" s="74">
        <f>SUM(D97:Z97)</f>
        <v>4843</v>
      </c>
      <c r="D97" s="74">
        <f>SUM(D93:D96)</f>
        <v>249</v>
      </c>
      <c r="E97" s="74">
        <f t="shared" ref="E97:Z97" si="108">SUM(E93:E96)</f>
        <v>1065</v>
      </c>
      <c r="F97" s="74">
        <f t="shared" si="108"/>
        <v>729</v>
      </c>
      <c r="G97" s="74">
        <f t="shared" si="108"/>
        <v>501</v>
      </c>
      <c r="H97" s="74">
        <f t="shared" si="108"/>
        <v>152</v>
      </c>
      <c r="I97" s="74">
        <f t="shared" si="108"/>
        <v>720</v>
      </c>
      <c r="J97" s="74">
        <f t="shared" si="108"/>
        <v>632</v>
      </c>
      <c r="K97" s="74">
        <f t="shared" si="108"/>
        <v>380</v>
      </c>
      <c r="L97" s="74">
        <f t="shared" si="108"/>
        <v>127</v>
      </c>
      <c r="M97" s="74">
        <f t="shared" si="108"/>
        <v>226</v>
      </c>
      <c r="N97" s="74">
        <f t="shared" si="108"/>
        <v>62</v>
      </c>
      <c r="O97" s="74">
        <f t="shared" si="108"/>
        <v>0</v>
      </c>
      <c r="P97" s="74">
        <f t="shared" si="108"/>
        <v>0</v>
      </c>
      <c r="Q97" s="74">
        <f t="shared" si="108"/>
        <v>0</v>
      </c>
      <c r="R97" s="4">
        <f t="shared" si="108"/>
        <v>0</v>
      </c>
      <c r="S97" s="74">
        <f t="shared" si="108"/>
        <v>0</v>
      </c>
      <c r="T97" s="74">
        <f t="shared" si="108"/>
        <v>0</v>
      </c>
      <c r="U97" s="74">
        <f t="shared" si="108"/>
        <v>0</v>
      </c>
      <c r="V97" s="74">
        <f t="shared" si="108"/>
        <v>0</v>
      </c>
      <c r="W97" s="74">
        <f t="shared" si="108"/>
        <v>0</v>
      </c>
      <c r="X97" s="74">
        <f t="shared" si="108"/>
        <v>0</v>
      </c>
      <c r="Y97" s="74">
        <f t="shared" si="108"/>
        <v>0</v>
      </c>
      <c r="Z97" s="74">
        <f t="shared" si="108"/>
        <v>0</v>
      </c>
    </row>
    <row r="98" spans="1:28" s="74" customFormat="1" ht="16" customHeight="1" x14ac:dyDescent="0.2">
      <c r="A98" s="142" t="str">
        <f t="shared" ref="A98" si="109">B98&amp;"1"</f>
        <v>Ken Rosewall1</v>
      </c>
      <c r="B98" s="189" t="s">
        <v>152</v>
      </c>
      <c r="C98" s="77" t="s">
        <v>2</v>
      </c>
      <c r="D98" s="4"/>
      <c r="E98" s="3">
        <v>93</v>
      </c>
      <c r="F98" s="4"/>
      <c r="G98" s="6">
        <v>523</v>
      </c>
      <c r="H98" s="6">
        <v>377</v>
      </c>
      <c r="I98" s="3">
        <v>-19</v>
      </c>
      <c r="J98" s="4"/>
      <c r="K98" s="8">
        <v>37</v>
      </c>
      <c r="L98" s="8">
        <v>153</v>
      </c>
      <c r="M98" s="5">
        <v>24</v>
      </c>
      <c r="N98" s="3">
        <v>29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77">
        <f>SUM(D98:Z98)</f>
        <v>1217</v>
      </c>
      <c r="AB98" s="77">
        <f>COUNT(D98:Z98)</f>
        <v>8</v>
      </c>
    </row>
    <row r="99" spans="1:28" s="77" customFormat="1" ht="16" customHeight="1" x14ac:dyDescent="0.2">
      <c r="A99" s="142" t="str">
        <f t="shared" ref="A99" si="110">B98&amp;"2"</f>
        <v>Ken Rosewall2</v>
      </c>
      <c r="B99" s="189"/>
      <c r="C99" s="77" t="s">
        <v>3</v>
      </c>
      <c r="D99" s="6">
        <v>494</v>
      </c>
      <c r="E99" s="7">
        <v>375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77">
        <f>SUM(D99:Z99)</f>
        <v>869</v>
      </c>
      <c r="AB99" s="77">
        <f>COUNT(D99:Z99)</f>
        <v>2</v>
      </c>
    </row>
    <row r="100" spans="1:28" s="77" customFormat="1" ht="16" customHeight="1" x14ac:dyDescent="0.2">
      <c r="A100" s="142" t="str">
        <f t="shared" ref="A100" si="111">B98&amp;"3"</f>
        <v>Ken Rosewall3</v>
      </c>
      <c r="B100" s="189"/>
      <c r="C100" s="77" t="s">
        <v>4</v>
      </c>
      <c r="D100" s="3">
        <v>87</v>
      </c>
      <c r="E100" s="3">
        <v>2</v>
      </c>
      <c r="F100" s="7">
        <v>359</v>
      </c>
      <c r="G100" s="8">
        <v>280</v>
      </c>
      <c r="H100" s="4"/>
      <c r="I100" s="4"/>
      <c r="J100" s="7">
        <v>399</v>
      </c>
      <c r="K100" s="3">
        <v>25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77">
        <f>SUM(D100:Z100)</f>
        <v>1152</v>
      </c>
      <c r="AB100" s="77">
        <f>COUNT(D100:Z100)</f>
        <v>6</v>
      </c>
    </row>
    <row r="101" spans="1:28" s="77" customFormat="1" ht="16" customHeight="1" x14ac:dyDescent="0.2">
      <c r="A101" s="142" t="str">
        <f t="shared" ref="A101" si="112">B98&amp;"4"</f>
        <v>Ken Rosewall4</v>
      </c>
      <c r="B101" s="189"/>
      <c r="C101" s="77" t="s">
        <v>5</v>
      </c>
      <c r="D101" s="8">
        <v>274</v>
      </c>
      <c r="E101" s="5">
        <v>174</v>
      </c>
      <c r="F101" s="6">
        <v>517</v>
      </c>
      <c r="G101" s="4"/>
      <c r="H101" s="3">
        <v>-17</v>
      </c>
      <c r="I101" s="8">
        <v>154</v>
      </c>
      <c r="J101" s="7">
        <v>409</v>
      </c>
      <c r="K101" s="4"/>
      <c r="L101" s="4"/>
      <c r="M101" s="3">
        <v>102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7">
        <f>SUM(D101:Z101)</f>
        <v>1613</v>
      </c>
      <c r="AB101" s="77">
        <f>COUNT(D101:Z101)</f>
        <v>7</v>
      </c>
    </row>
    <row r="102" spans="1:28" s="77" customFormat="1" ht="16" customHeight="1" x14ac:dyDescent="0.2">
      <c r="A102" s="142" t="str">
        <f t="shared" ref="A102" si="113">B98&amp;"5"</f>
        <v>Ken Rosewall5</v>
      </c>
      <c r="B102" s="189"/>
      <c r="C102" s="77">
        <f>SUM(D102:Z102)</f>
        <v>4851</v>
      </c>
      <c r="D102" s="77">
        <f>SUM(D98:D101)</f>
        <v>855</v>
      </c>
      <c r="E102" s="77">
        <f t="shared" ref="E102:Z102" si="114">SUM(E98:E101)</f>
        <v>644</v>
      </c>
      <c r="F102" s="77">
        <f t="shared" si="114"/>
        <v>876</v>
      </c>
      <c r="G102" s="77">
        <f t="shared" si="114"/>
        <v>803</v>
      </c>
      <c r="H102" s="77">
        <f t="shared" si="114"/>
        <v>360</v>
      </c>
      <c r="I102" s="77">
        <f t="shared" si="114"/>
        <v>135</v>
      </c>
      <c r="J102" s="77">
        <f t="shared" si="114"/>
        <v>808</v>
      </c>
      <c r="K102" s="77">
        <f t="shared" si="114"/>
        <v>62</v>
      </c>
      <c r="L102" s="77">
        <f t="shared" si="114"/>
        <v>153</v>
      </c>
      <c r="M102" s="77">
        <f t="shared" si="114"/>
        <v>126</v>
      </c>
      <c r="N102" s="77">
        <f t="shared" si="114"/>
        <v>29</v>
      </c>
      <c r="O102" s="77">
        <f t="shared" si="114"/>
        <v>0</v>
      </c>
      <c r="P102" s="77">
        <f t="shared" si="114"/>
        <v>0</v>
      </c>
      <c r="Q102" s="77">
        <f t="shared" si="114"/>
        <v>0</v>
      </c>
      <c r="R102" s="4">
        <f t="shared" si="114"/>
        <v>0</v>
      </c>
      <c r="S102" s="77">
        <f t="shared" si="114"/>
        <v>0</v>
      </c>
      <c r="T102" s="77">
        <f t="shared" si="114"/>
        <v>0</v>
      </c>
      <c r="U102" s="77">
        <f t="shared" si="114"/>
        <v>0</v>
      </c>
      <c r="V102" s="77">
        <f t="shared" si="114"/>
        <v>0</v>
      </c>
      <c r="W102" s="77">
        <f t="shared" si="114"/>
        <v>0</v>
      </c>
      <c r="X102" s="77">
        <f t="shared" si="114"/>
        <v>0</v>
      </c>
      <c r="Y102" s="77">
        <f t="shared" si="114"/>
        <v>0</v>
      </c>
      <c r="Z102" s="77">
        <f t="shared" si="114"/>
        <v>0</v>
      </c>
    </row>
    <row r="103" spans="1:28" s="77" customFormat="1" ht="16" customHeight="1" x14ac:dyDescent="0.2">
      <c r="A103" s="142" t="str">
        <f t="shared" ref="A103" si="115">B103&amp;"1"</f>
        <v>Arthur Ashe1</v>
      </c>
      <c r="B103" s="189" t="s">
        <v>157</v>
      </c>
      <c r="C103" s="80" t="s">
        <v>2</v>
      </c>
      <c r="D103" s="4"/>
      <c r="E103" s="4"/>
      <c r="F103" s="6">
        <v>511</v>
      </c>
      <c r="G103" s="7">
        <v>384</v>
      </c>
      <c r="H103" s="4"/>
      <c r="I103" s="4"/>
      <c r="J103" s="4"/>
      <c r="K103" s="4"/>
      <c r="L103" s="4"/>
      <c r="M103" s="5">
        <v>-16</v>
      </c>
      <c r="N103" s="8">
        <v>152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80">
        <f>SUM(D103:Z103)</f>
        <v>1031</v>
      </c>
      <c r="AB103" s="80">
        <f>COUNT(D103:Z103)</f>
        <v>4</v>
      </c>
    </row>
    <row r="104" spans="1:28" s="80" customFormat="1" ht="16" customHeight="1" x14ac:dyDescent="0.2">
      <c r="A104" s="142" t="str">
        <f t="shared" ref="A104" si="116">B103&amp;"2"</f>
        <v>Arthur Ashe2</v>
      </c>
      <c r="B104" s="189"/>
      <c r="C104" s="80" t="s">
        <v>3</v>
      </c>
      <c r="D104" s="4"/>
      <c r="E104" s="3">
        <v>36</v>
      </c>
      <c r="F104" s="5">
        <v>194</v>
      </c>
      <c r="G104" s="5">
        <v>177</v>
      </c>
      <c r="H104" s="4"/>
      <c r="I104" s="3">
        <v>71</v>
      </c>
      <c r="J104" s="3">
        <v>39</v>
      </c>
      <c r="K104" s="4"/>
      <c r="L104" s="3">
        <v>28</v>
      </c>
      <c r="M104" s="4"/>
      <c r="N104" s="3">
        <v>119</v>
      </c>
      <c r="O104" s="3">
        <v>23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80">
        <f>SUM(D104:Z104)</f>
        <v>687</v>
      </c>
      <c r="AB104" s="80">
        <f>COUNT(D104:Z104)</f>
        <v>8</v>
      </c>
    </row>
    <row r="105" spans="1:28" s="80" customFormat="1" ht="16" customHeight="1" x14ac:dyDescent="0.2">
      <c r="A105" s="142" t="str">
        <f t="shared" ref="A105" si="117">B103&amp;"3"</f>
        <v>Arthur Ashe3</v>
      </c>
      <c r="B105" s="189"/>
      <c r="C105" s="80" t="s">
        <v>4</v>
      </c>
      <c r="D105" s="8">
        <v>289</v>
      </c>
      <c r="E105" s="8">
        <v>289</v>
      </c>
      <c r="F105" s="3">
        <v>88</v>
      </c>
      <c r="G105" s="3">
        <v>2</v>
      </c>
      <c r="H105" s="4"/>
      <c r="I105" s="4"/>
      <c r="J105" s="3">
        <v>-23</v>
      </c>
      <c r="K105" s="6">
        <v>483</v>
      </c>
      <c r="L105" s="3">
        <v>76</v>
      </c>
      <c r="M105" s="4"/>
      <c r="N105" s="3">
        <v>-86</v>
      </c>
      <c r="O105" s="3">
        <v>-99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80">
        <f>SUM(D105:Z105)</f>
        <v>1019</v>
      </c>
      <c r="AB105" s="80">
        <f>COUNT(D105:Z105)</f>
        <v>9</v>
      </c>
    </row>
    <row r="106" spans="1:28" s="80" customFormat="1" ht="16" customHeight="1" x14ac:dyDescent="0.2">
      <c r="A106" s="142" t="str">
        <f t="shared" ref="A106" si="118">B103&amp;"4"</f>
        <v>Arthur Ashe4</v>
      </c>
      <c r="B106" s="189"/>
      <c r="C106" s="80" t="s">
        <v>5</v>
      </c>
      <c r="D106" s="6">
        <v>507</v>
      </c>
      <c r="E106" s="8">
        <v>301</v>
      </c>
      <c r="F106" s="5">
        <v>201</v>
      </c>
      <c r="G106" s="8">
        <v>238</v>
      </c>
      <c r="H106" s="7">
        <v>412</v>
      </c>
      <c r="I106" s="3">
        <v>28</v>
      </c>
      <c r="J106" s="5">
        <v>151</v>
      </c>
      <c r="K106" s="3">
        <v>59</v>
      </c>
      <c r="L106" s="3">
        <v>-24</v>
      </c>
      <c r="M106" s="4"/>
      <c r="N106" s="3">
        <v>35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80">
        <f>SUM(D106:Z106)</f>
        <v>1908</v>
      </c>
      <c r="AB106" s="80">
        <f>COUNT(D106:Z106)</f>
        <v>10</v>
      </c>
    </row>
    <row r="107" spans="1:28" s="80" customFormat="1" ht="16" customHeight="1" x14ac:dyDescent="0.2">
      <c r="A107" s="142" t="str">
        <f t="shared" ref="A107" si="119">B103&amp;"5"</f>
        <v>Arthur Ashe5</v>
      </c>
      <c r="B107" s="189"/>
      <c r="C107" s="80">
        <f>SUM(D107:Z107)</f>
        <v>4645</v>
      </c>
      <c r="D107" s="80">
        <f>SUM(D103:D106)</f>
        <v>796</v>
      </c>
      <c r="E107" s="80">
        <f t="shared" ref="E107:Z107" si="120">SUM(E103:E106)</f>
        <v>626</v>
      </c>
      <c r="F107" s="80">
        <f t="shared" si="120"/>
        <v>994</v>
      </c>
      <c r="G107" s="80">
        <f t="shared" si="120"/>
        <v>801</v>
      </c>
      <c r="H107" s="80">
        <f t="shared" si="120"/>
        <v>412</v>
      </c>
      <c r="I107" s="80">
        <f t="shared" si="120"/>
        <v>99</v>
      </c>
      <c r="J107" s="80">
        <f t="shared" si="120"/>
        <v>167</v>
      </c>
      <c r="K107" s="80">
        <f t="shared" si="120"/>
        <v>542</v>
      </c>
      <c r="L107" s="80">
        <f t="shared" si="120"/>
        <v>80</v>
      </c>
      <c r="M107" s="80">
        <f t="shared" si="120"/>
        <v>-16</v>
      </c>
      <c r="N107" s="80">
        <f t="shared" si="120"/>
        <v>220</v>
      </c>
      <c r="O107" s="80">
        <f t="shared" si="120"/>
        <v>-76</v>
      </c>
      <c r="P107" s="80">
        <f t="shared" si="120"/>
        <v>0</v>
      </c>
      <c r="Q107" s="80">
        <f t="shared" si="120"/>
        <v>0</v>
      </c>
      <c r="R107" s="4">
        <f t="shared" si="120"/>
        <v>0</v>
      </c>
      <c r="S107" s="80">
        <f t="shared" si="120"/>
        <v>0</v>
      </c>
      <c r="T107" s="80">
        <f t="shared" si="120"/>
        <v>0</v>
      </c>
      <c r="U107" s="80">
        <f t="shared" si="120"/>
        <v>0</v>
      </c>
      <c r="V107" s="80">
        <f t="shared" si="120"/>
        <v>0</v>
      </c>
      <c r="W107" s="80">
        <f t="shared" si="120"/>
        <v>0</v>
      </c>
      <c r="X107" s="80">
        <f t="shared" si="120"/>
        <v>0</v>
      </c>
      <c r="Y107" s="80">
        <f t="shared" si="120"/>
        <v>0</v>
      </c>
      <c r="Z107" s="80">
        <f t="shared" si="120"/>
        <v>0</v>
      </c>
    </row>
    <row r="108" spans="1:28" s="80" customFormat="1" ht="16" customHeight="1" x14ac:dyDescent="0.2">
      <c r="A108" s="142" t="str">
        <f t="shared" ref="A108" si="121">B108&amp;"1"</f>
        <v>Jan Kodes1</v>
      </c>
      <c r="B108" s="189" t="s">
        <v>119</v>
      </c>
      <c r="C108" s="80" t="s">
        <v>2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80">
        <f>SUM(D108:Z108)</f>
        <v>0</v>
      </c>
      <c r="AB108" s="80">
        <f>COUNT(D108:Z108)</f>
        <v>0</v>
      </c>
    </row>
    <row r="109" spans="1:28" s="80" customFormat="1" ht="16" customHeight="1" x14ac:dyDescent="0.2">
      <c r="A109" s="142" t="str">
        <f t="shared" ref="A109" si="122">B108&amp;"2"</f>
        <v>Jan Kodes2</v>
      </c>
      <c r="B109" s="189"/>
      <c r="C109" s="80" t="s">
        <v>3</v>
      </c>
      <c r="D109" s="4"/>
      <c r="E109" s="3">
        <v>98</v>
      </c>
      <c r="F109" s="6">
        <v>498</v>
      </c>
      <c r="G109" s="6">
        <v>485</v>
      </c>
      <c r="H109" s="5">
        <v>187</v>
      </c>
      <c r="I109" s="5">
        <v>152</v>
      </c>
      <c r="J109" s="3">
        <v>96</v>
      </c>
      <c r="K109" s="3">
        <v>40</v>
      </c>
      <c r="L109" s="3">
        <v>-37</v>
      </c>
      <c r="M109" s="3">
        <v>21</v>
      </c>
      <c r="N109" s="3">
        <v>-20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80">
        <f>SUM(D109:Z109)</f>
        <v>1520</v>
      </c>
      <c r="AB109" s="80">
        <f>COUNT(D109:Z109)</f>
        <v>10</v>
      </c>
    </row>
    <row r="110" spans="1:28" s="80" customFormat="1" ht="16" customHeight="1" x14ac:dyDescent="0.2">
      <c r="A110" s="142" t="str">
        <f t="shared" ref="A110" si="123">B108&amp;"3"</f>
        <v>Jan Kodes3</v>
      </c>
      <c r="B110" s="189"/>
      <c r="C110" s="80" t="s">
        <v>4</v>
      </c>
      <c r="D110" s="3">
        <v>-82</v>
      </c>
      <c r="E110" s="3">
        <v>-48</v>
      </c>
      <c r="F110" s="3">
        <v>-82</v>
      </c>
      <c r="G110" s="3">
        <v>-82</v>
      </c>
      <c r="H110" s="8">
        <v>180</v>
      </c>
      <c r="I110" s="6">
        <v>304</v>
      </c>
      <c r="J110" s="5">
        <v>153</v>
      </c>
      <c r="K110" s="3">
        <v>-41</v>
      </c>
      <c r="L110" s="4"/>
      <c r="M110" s="3">
        <v>-3</v>
      </c>
      <c r="N110" s="3">
        <v>-23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80">
        <f>SUM(D110:Z110)</f>
        <v>276</v>
      </c>
      <c r="AB110" s="80">
        <f>COUNT(D110:Z110)</f>
        <v>10</v>
      </c>
    </row>
    <row r="111" spans="1:28" s="80" customFormat="1" ht="16" customHeight="1" x14ac:dyDescent="0.2">
      <c r="A111" s="142" t="str">
        <f t="shared" ref="A111" si="124">B108&amp;"4"</f>
        <v>Jan Kodes4</v>
      </c>
      <c r="B111" s="189"/>
      <c r="C111" s="80" t="s">
        <v>5</v>
      </c>
      <c r="D111" s="4"/>
      <c r="E111" s="3">
        <v>-48</v>
      </c>
      <c r="F111" s="4"/>
      <c r="G111" s="7">
        <v>449</v>
      </c>
      <c r="H111" s="3">
        <v>-48</v>
      </c>
      <c r="I111" s="7">
        <v>305</v>
      </c>
      <c r="J111" s="3">
        <v>63</v>
      </c>
      <c r="K111" s="3">
        <v>21</v>
      </c>
      <c r="L111" s="5">
        <v>258</v>
      </c>
      <c r="M111" s="3">
        <v>49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80">
        <f>SUM(D111:Z111)</f>
        <v>1049</v>
      </c>
      <c r="AB111" s="80">
        <f>COUNT(D111:Z111)</f>
        <v>8</v>
      </c>
    </row>
    <row r="112" spans="1:28" s="80" customFormat="1" ht="16" customHeight="1" x14ac:dyDescent="0.2">
      <c r="A112" s="142" t="str">
        <f t="shared" ref="A112" si="125">B108&amp;"5"</f>
        <v>Jan Kodes5</v>
      </c>
      <c r="B112" s="189"/>
      <c r="C112" s="80">
        <f>SUM(D112:Z112)</f>
        <v>2845</v>
      </c>
      <c r="D112" s="80">
        <f>SUM(D108:D111)</f>
        <v>-82</v>
      </c>
      <c r="E112" s="80">
        <f t="shared" ref="E112:Z112" si="126">SUM(E108:E111)</f>
        <v>2</v>
      </c>
      <c r="F112" s="80">
        <f t="shared" si="126"/>
        <v>416</v>
      </c>
      <c r="G112" s="80">
        <f t="shared" si="126"/>
        <v>852</v>
      </c>
      <c r="H112" s="80">
        <f t="shared" si="126"/>
        <v>319</v>
      </c>
      <c r="I112" s="80">
        <f t="shared" si="126"/>
        <v>761</v>
      </c>
      <c r="J112" s="80">
        <f t="shared" si="126"/>
        <v>312</v>
      </c>
      <c r="K112" s="80">
        <f t="shared" si="126"/>
        <v>20</v>
      </c>
      <c r="L112" s="80">
        <f t="shared" si="126"/>
        <v>221</v>
      </c>
      <c r="M112" s="80">
        <f t="shared" si="126"/>
        <v>67</v>
      </c>
      <c r="N112" s="80">
        <f t="shared" si="126"/>
        <v>-43</v>
      </c>
      <c r="O112" s="80">
        <f t="shared" si="126"/>
        <v>0</v>
      </c>
      <c r="P112" s="80">
        <f t="shared" si="126"/>
        <v>0</v>
      </c>
      <c r="Q112" s="80">
        <f t="shared" si="126"/>
        <v>0</v>
      </c>
      <c r="R112" s="4">
        <f t="shared" si="126"/>
        <v>0</v>
      </c>
      <c r="S112" s="80">
        <f t="shared" si="126"/>
        <v>0</v>
      </c>
      <c r="T112" s="80">
        <f t="shared" si="126"/>
        <v>0</v>
      </c>
      <c r="U112" s="80">
        <f t="shared" si="126"/>
        <v>0</v>
      </c>
      <c r="V112" s="80">
        <f t="shared" si="126"/>
        <v>0</v>
      </c>
      <c r="W112" s="80">
        <f t="shared" si="126"/>
        <v>0</v>
      </c>
      <c r="X112" s="80">
        <f t="shared" si="126"/>
        <v>0</v>
      </c>
      <c r="Y112" s="80">
        <f t="shared" si="126"/>
        <v>0</v>
      </c>
      <c r="Z112" s="80">
        <f t="shared" si="126"/>
        <v>0</v>
      </c>
    </row>
    <row r="113" spans="1:28" s="80" customFormat="1" ht="16" customHeight="1" x14ac:dyDescent="0.2">
      <c r="A113" s="142" t="str">
        <f t="shared" ref="A113" si="127">B113&amp;"1"</f>
        <v>Ilie Nastase1</v>
      </c>
      <c r="B113" s="189" t="s">
        <v>115</v>
      </c>
      <c r="C113" s="80" t="s">
        <v>2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3">
        <v>-11</v>
      </c>
      <c r="R113" s="4"/>
      <c r="S113" s="4"/>
      <c r="T113" s="4"/>
      <c r="U113" s="4"/>
      <c r="V113" s="4"/>
      <c r="W113" s="4"/>
      <c r="X113" s="4"/>
      <c r="Y113" s="4"/>
      <c r="Z113" s="4"/>
      <c r="AA113" s="80">
        <f>SUM(D113:Z113)</f>
        <v>-11</v>
      </c>
      <c r="AB113" s="80">
        <f>COUNT(D113:Z113)</f>
        <v>1</v>
      </c>
    </row>
    <row r="114" spans="1:28" s="80" customFormat="1" ht="16" customHeight="1" x14ac:dyDescent="0.2">
      <c r="A114" s="142" t="str">
        <f t="shared" ref="A114" si="128">B113&amp;"2"</f>
        <v>Ilie Nastase2</v>
      </c>
      <c r="B114" s="189"/>
      <c r="C114" s="80" t="s">
        <v>3</v>
      </c>
      <c r="D114" s="3">
        <v>-48</v>
      </c>
      <c r="E114" s="3">
        <v>-82</v>
      </c>
      <c r="F114" s="5">
        <v>188</v>
      </c>
      <c r="G114" s="7">
        <v>366</v>
      </c>
      <c r="H114" s="3">
        <v>-48</v>
      </c>
      <c r="I114" s="6">
        <v>564</v>
      </c>
      <c r="J114" s="5">
        <v>64</v>
      </c>
      <c r="K114" s="3">
        <v>10</v>
      </c>
      <c r="L114" s="4"/>
      <c r="M114" s="5">
        <v>140</v>
      </c>
      <c r="N114" s="4"/>
      <c r="O114" s="3">
        <v>-13</v>
      </c>
      <c r="P114" s="4"/>
      <c r="Q114" s="3">
        <v>40</v>
      </c>
      <c r="R114" s="3">
        <v>-96</v>
      </c>
      <c r="S114" s="3">
        <v>54</v>
      </c>
      <c r="T114" s="3">
        <v>-12</v>
      </c>
      <c r="U114" s="4"/>
      <c r="V114" s="4"/>
      <c r="W114" s="4"/>
      <c r="X114" s="4"/>
      <c r="Y114" s="4"/>
      <c r="Z114" s="4"/>
      <c r="AA114" s="80">
        <f>SUM(D114:Z114)</f>
        <v>1127</v>
      </c>
      <c r="AB114" s="80">
        <f>COUNT(D114:Z114)</f>
        <v>14</v>
      </c>
    </row>
    <row r="115" spans="1:28" s="80" customFormat="1" ht="16" customHeight="1" x14ac:dyDescent="0.2">
      <c r="A115" s="142" t="str">
        <f t="shared" ref="A115" si="129">B113&amp;"3"</f>
        <v>Ilie Nastase3</v>
      </c>
      <c r="B115" s="189"/>
      <c r="C115" s="80" t="s">
        <v>4</v>
      </c>
      <c r="D115" s="4"/>
      <c r="E115" s="3">
        <v>45</v>
      </c>
      <c r="F115" s="3">
        <v>93</v>
      </c>
      <c r="G115" s="3">
        <v>-48</v>
      </c>
      <c r="H115" s="7">
        <v>369</v>
      </c>
      <c r="I115" s="3">
        <v>-41</v>
      </c>
      <c r="J115" s="3">
        <v>162</v>
      </c>
      <c r="K115" s="3">
        <v>-64</v>
      </c>
      <c r="L115" s="7">
        <v>299</v>
      </c>
      <c r="M115" s="5">
        <v>117</v>
      </c>
      <c r="N115" s="5">
        <v>82</v>
      </c>
      <c r="O115" s="4"/>
      <c r="P115" s="3">
        <v>-5</v>
      </c>
      <c r="Q115" s="3">
        <v>-52</v>
      </c>
      <c r="R115" s="3">
        <v>-96</v>
      </c>
      <c r="S115" s="4"/>
      <c r="T115" s="4"/>
      <c r="U115" s="4"/>
      <c r="V115" s="4"/>
      <c r="W115" s="4"/>
      <c r="X115" s="4"/>
      <c r="Y115" s="4"/>
      <c r="Z115" s="4"/>
      <c r="AA115" s="80">
        <f>SUM(D115:Z115)</f>
        <v>861</v>
      </c>
      <c r="AB115" s="80">
        <f>COUNT(D115:Z115)</f>
        <v>13</v>
      </c>
    </row>
    <row r="116" spans="1:28" s="80" customFormat="1" ht="16" customHeight="1" x14ac:dyDescent="0.2">
      <c r="A116" s="142" t="str">
        <f t="shared" ref="A116" si="130">B113&amp;"4"</f>
        <v>Ilie Nastase4</v>
      </c>
      <c r="B116" s="189"/>
      <c r="C116" s="80" t="s">
        <v>5</v>
      </c>
      <c r="D116" s="4"/>
      <c r="E116" s="3">
        <v>50</v>
      </c>
      <c r="F116" s="4"/>
      <c r="G116" s="3">
        <v>2</v>
      </c>
      <c r="H116" s="6">
        <v>480</v>
      </c>
      <c r="I116" s="3">
        <v>-78</v>
      </c>
      <c r="J116" s="3">
        <v>-19</v>
      </c>
      <c r="K116" s="5">
        <v>242</v>
      </c>
      <c r="L116" s="8">
        <v>322</v>
      </c>
      <c r="M116" s="3">
        <v>16</v>
      </c>
      <c r="N116" s="4"/>
      <c r="O116" s="3">
        <v>-2</v>
      </c>
      <c r="P116" s="3">
        <v>-6</v>
      </c>
      <c r="Q116" s="3">
        <v>-27</v>
      </c>
      <c r="R116" s="3">
        <v>121</v>
      </c>
      <c r="S116" s="3">
        <v>-92</v>
      </c>
      <c r="T116" s="3">
        <v>-15</v>
      </c>
      <c r="U116" s="3">
        <v>-86</v>
      </c>
      <c r="V116" s="4"/>
      <c r="W116" s="4"/>
      <c r="X116" s="4"/>
      <c r="Y116" s="4"/>
      <c r="Z116" s="4"/>
      <c r="AA116" s="80">
        <f>SUM(D116:Z116)</f>
        <v>908</v>
      </c>
      <c r="AB116" s="80">
        <f>COUNT(D116:Z116)</f>
        <v>15</v>
      </c>
    </row>
    <row r="117" spans="1:28" s="80" customFormat="1" ht="16" customHeight="1" x14ac:dyDescent="0.2">
      <c r="A117" s="142" t="str">
        <f t="shared" ref="A117" si="131">B113&amp;"5"</f>
        <v>Ilie Nastase5</v>
      </c>
      <c r="B117" s="189"/>
      <c r="C117" s="80">
        <f>SUM(D117:Z117)</f>
        <v>2885</v>
      </c>
      <c r="D117" s="80">
        <f>SUM(D113:D116)</f>
        <v>-48</v>
      </c>
      <c r="E117" s="80">
        <f t="shared" ref="E117:Z117" si="132">SUM(E113:E116)</f>
        <v>13</v>
      </c>
      <c r="F117" s="80">
        <f t="shared" si="132"/>
        <v>281</v>
      </c>
      <c r="G117" s="80">
        <f t="shared" si="132"/>
        <v>320</v>
      </c>
      <c r="H117" s="80">
        <f t="shared" si="132"/>
        <v>801</v>
      </c>
      <c r="I117" s="80">
        <f t="shared" si="132"/>
        <v>445</v>
      </c>
      <c r="J117" s="80">
        <f t="shared" si="132"/>
        <v>207</v>
      </c>
      <c r="K117" s="80">
        <f t="shared" si="132"/>
        <v>188</v>
      </c>
      <c r="L117" s="80">
        <f t="shared" si="132"/>
        <v>621</v>
      </c>
      <c r="M117" s="80">
        <f t="shared" si="132"/>
        <v>273</v>
      </c>
      <c r="N117" s="80">
        <f t="shared" si="132"/>
        <v>82</v>
      </c>
      <c r="O117" s="80">
        <f t="shared" si="132"/>
        <v>-15</v>
      </c>
      <c r="P117" s="80">
        <f t="shared" si="132"/>
        <v>-11</v>
      </c>
      <c r="Q117" s="80">
        <f t="shared" si="132"/>
        <v>-50</v>
      </c>
      <c r="R117" s="4">
        <f t="shared" si="132"/>
        <v>-71</v>
      </c>
      <c r="S117" s="80">
        <f t="shared" si="132"/>
        <v>-38</v>
      </c>
      <c r="T117" s="80">
        <f t="shared" si="132"/>
        <v>-27</v>
      </c>
      <c r="U117" s="80">
        <f t="shared" si="132"/>
        <v>-86</v>
      </c>
      <c r="V117" s="80">
        <f t="shared" si="132"/>
        <v>0</v>
      </c>
      <c r="W117" s="80">
        <f t="shared" si="132"/>
        <v>0</v>
      </c>
      <c r="X117" s="80">
        <f t="shared" si="132"/>
        <v>0</v>
      </c>
      <c r="Y117" s="80">
        <f t="shared" si="132"/>
        <v>0</v>
      </c>
      <c r="Z117" s="80">
        <f t="shared" si="132"/>
        <v>0</v>
      </c>
    </row>
    <row r="118" spans="1:28" s="80" customFormat="1" ht="16" customHeight="1" x14ac:dyDescent="0.2">
      <c r="A118" s="142" t="str">
        <f t="shared" ref="A118" si="133">B118&amp;"1"</f>
        <v>Lleyton Hewitt1</v>
      </c>
      <c r="B118" s="189" t="s">
        <v>116</v>
      </c>
      <c r="C118" s="84" t="s">
        <v>2</v>
      </c>
      <c r="D118" s="3">
        <v>-64</v>
      </c>
      <c r="E118" s="3">
        <v>-54</v>
      </c>
      <c r="F118" s="3">
        <v>52</v>
      </c>
      <c r="G118" s="3">
        <v>76</v>
      </c>
      <c r="H118" s="3">
        <v>97</v>
      </c>
      <c r="I118" s="3">
        <v>-39</v>
      </c>
      <c r="J118" s="3">
        <v>15</v>
      </c>
      <c r="K118" s="3">
        <v>115</v>
      </c>
      <c r="L118" s="7">
        <v>341</v>
      </c>
      <c r="M118" s="3">
        <v>-9</v>
      </c>
      <c r="N118" s="3">
        <v>3</v>
      </c>
      <c r="O118" s="3">
        <v>100</v>
      </c>
      <c r="P118" s="3">
        <v>-13</v>
      </c>
      <c r="Q118" s="3">
        <v>70</v>
      </c>
      <c r="R118" s="3">
        <v>-27</v>
      </c>
      <c r="S118" s="3">
        <v>178</v>
      </c>
      <c r="T118" s="3">
        <v>-8</v>
      </c>
      <c r="U118" s="3">
        <v>-24</v>
      </c>
      <c r="V118" s="3">
        <v>-40</v>
      </c>
      <c r="W118" s="3">
        <v>-7</v>
      </c>
      <c r="X118" s="4"/>
      <c r="Y118" s="4"/>
      <c r="Z118" s="4"/>
      <c r="AA118" s="84">
        <f>SUM(D118:Z118)</f>
        <v>762</v>
      </c>
      <c r="AB118" s="84">
        <f>COUNT(D118:Z118)</f>
        <v>20</v>
      </c>
    </row>
    <row r="119" spans="1:28" s="84" customFormat="1" ht="16" customHeight="1" x14ac:dyDescent="0.2">
      <c r="A119" s="142" t="str">
        <f t="shared" ref="A119" si="134">B118&amp;"2"</f>
        <v>Lleyton Hewitt2</v>
      </c>
      <c r="B119" s="189"/>
      <c r="C119" s="84" t="s">
        <v>3</v>
      </c>
      <c r="D119" s="4"/>
      <c r="E119" s="4"/>
      <c r="F119" s="3">
        <v>-84</v>
      </c>
      <c r="G119" s="3">
        <v>31</v>
      </c>
      <c r="H119" s="5">
        <v>78</v>
      </c>
      <c r="I119" s="3">
        <v>73</v>
      </c>
      <c r="J119" s="3">
        <v>63</v>
      </c>
      <c r="K119" s="5">
        <v>143</v>
      </c>
      <c r="L119" s="4"/>
      <c r="M119" s="3">
        <v>79</v>
      </c>
      <c r="N119" s="3">
        <v>150</v>
      </c>
      <c r="O119" s="3">
        <v>113</v>
      </c>
      <c r="P119" s="3">
        <v>85</v>
      </c>
      <c r="Q119" s="3">
        <v>80</v>
      </c>
      <c r="R119" s="4"/>
      <c r="S119" s="3">
        <v>-99</v>
      </c>
      <c r="T119" s="3">
        <v>-15</v>
      </c>
      <c r="U119" s="3">
        <v>-47</v>
      </c>
      <c r="V119" s="4"/>
      <c r="W119" s="4"/>
      <c r="X119" s="4"/>
      <c r="Y119" s="4"/>
      <c r="Z119" s="4"/>
      <c r="AA119" s="84">
        <f>SUM(D119:Z119)</f>
        <v>650</v>
      </c>
      <c r="AB119" s="84">
        <f>COUNT(D119:Z119)</f>
        <v>14</v>
      </c>
    </row>
    <row r="120" spans="1:28" s="84" customFormat="1" ht="16" customHeight="1" x14ac:dyDescent="0.2">
      <c r="A120" s="142" t="str">
        <f t="shared" ref="A120" si="135">B118&amp;"3"</f>
        <v>Lleyton Hewitt3</v>
      </c>
      <c r="B120" s="189"/>
      <c r="C120" s="84" t="s">
        <v>4</v>
      </c>
      <c r="D120" s="4"/>
      <c r="E120" s="4"/>
      <c r="F120" s="3">
        <v>-26</v>
      </c>
      <c r="G120" s="3">
        <v>-56</v>
      </c>
      <c r="H120" s="3">
        <v>24</v>
      </c>
      <c r="I120" s="6">
        <v>398</v>
      </c>
      <c r="J120" s="3">
        <v>-99</v>
      </c>
      <c r="K120" s="5">
        <v>214</v>
      </c>
      <c r="L120" s="8">
        <v>257</v>
      </c>
      <c r="M120" s="5">
        <v>188</v>
      </c>
      <c r="N120" s="3">
        <v>110</v>
      </c>
      <c r="O120" s="3">
        <v>120</v>
      </c>
      <c r="P120" s="5">
        <v>222</v>
      </c>
      <c r="Q120" s="3">
        <v>100</v>
      </c>
      <c r="R120" s="3">
        <v>43</v>
      </c>
      <c r="S120" s="3">
        <v>-5</v>
      </c>
      <c r="T120" s="3">
        <v>-10</v>
      </c>
      <c r="U120" s="3">
        <v>-14</v>
      </c>
      <c r="V120" s="3">
        <v>-92</v>
      </c>
      <c r="W120" s="4"/>
      <c r="X120" s="4"/>
      <c r="Y120" s="4"/>
      <c r="Z120" s="4"/>
      <c r="AA120" s="84">
        <f>SUM(D120:Z120)</f>
        <v>1374</v>
      </c>
      <c r="AB120" s="84">
        <f>COUNT(D120:Z120)</f>
        <v>17</v>
      </c>
    </row>
    <row r="121" spans="1:28" s="84" customFormat="1" ht="16" customHeight="1" x14ac:dyDescent="0.2">
      <c r="A121" s="142" t="str">
        <f t="shared" ref="A121" si="136">B118&amp;"4"</f>
        <v>Lleyton Hewitt4</v>
      </c>
      <c r="B121" s="189"/>
      <c r="C121" s="84" t="s">
        <v>5</v>
      </c>
      <c r="D121" s="4"/>
      <c r="E121" s="4"/>
      <c r="F121" s="3">
        <v>40</v>
      </c>
      <c r="G121" s="8">
        <v>291</v>
      </c>
      <c r="H121" s="6">
        <v>498</v>
      </c>
      <c r="I121" s="8">
        <v>257</v>
      </c>
      <c r="J121" s="5">
        <v>187</v>
      </c>
      <c r="K121" s="7">
        <v>314</v>
      </c>
      <c r="L121" s="8">
        <v>279</v>
      </c>
      <c r="M121" s="5">
        <v>185</v>
      </c>
      <c r="N121" s="3">
        <v>-29</v>
      </c>
      <c r="O121" s="4"/>
      <c r="P121" s="3">
        <v>1</v>
      </c>
      <c r="Q121" s="3">
        <v>-99</v>
      </c>
      <c r="R121" s="4"/>
      <c r="S121" s="3">
        <v>53</v>
      </c>
      <c r="T121" s="3">
        <v>75</v>
      </c>
      <c r="U121" s="3">
        <v>-6</v>
      </c>
      <c r="V121" s="3">
        <v>-23</v>
      </c>
      <c r="W121" s="4"/>
      <c r="X121" s="4"/>
      <c r="Y121" s="4"/>
      <c r="Z121" s="4"/>
      <c r="AA121" s="84">
        <f>SUM(D121:Z121)</f>
        <v>2023</v>
      </c>
      <c r="AB121" s="84">
        <f>COUNT(D121:Z121)</f>
        <v>15</v>
      </c>
    </row>
    <row r="122" spans="1:28" s="84" customFormat="1" ht="16" customHeight="1" x14ac:dyDescent="0.2">
      <c r="A122" s="142" t="str">
        <f t="shared" ref="A122" si="137">B118&amp;"5"</f>
        <v>Lleyton Hewitt5</v>
      </c>
      <c r="B122" s="189"/>
      <c r="C122" s="84">
        <f>SUM(D122:Z122)</f>
        <v>4809</v>
      </c>
      <c r="D122" s="84">
        <f>SUM(D118:D121)</f>
        <v>-64</v>
      </c>
      <c r="E122" s="84">
        <f t="shared" ref="E122:Z122" si="138">SUM(E118:E121)</f>
        <v>-54</v>
      </c>
      <c r="F122" s="84">
        <f t="shared" si="138"/>
        <v>-18</v>
      </c>
      <c r="G122" s="84">
        <f t="shared" si="138"/>
        <v>342</v>
      </c>
      <c r="H122" s="84">
        <f t="shared" si="138"/>
        <v>697</v>
      </c>
      <c r="I122" s="84">
        <f t="shared" si="138"/>
        <v>689</v>
      </c>
      <c r="J122" s="84">
        <f t="shared" si="138"/>
        <v>166</v>
      </c>
      <c r="K122" s="84">
        <f t="shared" si="138"/>
        <v>786</v>
      </c>
      <c r="L122" s="84">
        <f t="shared" si="138"/>
        <v>877</v>
      </c>
      <c r="M122" s="84">
        <f t="shared" si="138"/>
        <v>443</v>
      </c>
      <c r="N122" s="84">
        <f t="shared" si="138"/>
        <v>234</v>
      </c>
      <c r="O122" s="84">
        <f t="shared" si="138"/>
        <v>333</v>
      </c>
      <c r="P122" s="84">
        <f t="shared" si="138"/>
        <v>295</v>
      </c>
      <c r="Q122" s="84">
        <f t="shared" si="138"/>
        <v>151</v>
      </c>
      <c r="R122" s="4">
        <f t="shared" si="138"/>
        <v>16</v>
      </c>
      <c r="S122" s="84">
        <f t="shared" si="138"/>
        <v>127</v>
      </c>
      <c r="T122" s="84">
        <f t="shared" si="138"/>
        <v>42</v>
      </c>
      <c r="U122" s="84">
        <f t="shared" si="138"/>
        <v>-91</v>
      </c>
      <c r="V122" s="84">
        <f t="shared" si="138"/>
        <v>-155</v>
      </c>
      <c r="W122" s="84">
        <f t="shared" si="138"/>
        <v>-7</v>
      </c>
      <c r="X122" s="84">
        <f t="shared" si="138"/>
        <v>0</v>
      </c>
      <c r="Y122" s="84">
        <f t="shared" si="138"/>
        <v>0</v>
      </c>
      <c r="Z122" s="84">
        <f t="shared" si="138"/>
        <v>0</v>
      </c>
    </row>
    <row r="123" spans="1:28" s="84" customFormat="1" ht="16" customHeight="1" x14ac:dyDescent="0.2">
      <c r="A123" s="142" t="str">
        <f t="shared" ref="A123" si="139">B123&amp;"1"</f>
        <v>Stan Smith1</v>
      </c>
      <c r="B123" s="189" t="s">
        <v>117</v>
      </c>
      <c r="C123" s="86" t="s">
        <v>2</v>
      </c>
      <c r="D123" s="4"/>
      <c r="E123" s="4"/>
      <c r="F123" s="3">
        <v>90</v>
      </c>
      <c r="G123" s="4"/>
      <c r="H123" s="4"/>
      <c r="I123" s="4"/>
      <c r="J123" s="4"/>
      <c r="K123" s="4"/>
      <c r="L123" s="3">
        <v>-10</v>
      </c>
      <c r="M123" s="3">
        <v>-66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86">
        <f>SUM(D123:Z123)</f>
        <v>14</v>
      </c>
      <c r="AB123" s="86">
        <f>COUNT(D123:Z123)</f>
        <v>3</v>
      </c>
    </row>
    <row r="124" spans="1:28" s="86" customFormat="1" ht="16" customHeight="1" x14ac:dyDescent="0.2">
      <c r="A124" s="142" t="str">
        <f t="shared" ref="A124" si="140">B123&amp;"2"</f>
        <v>Stan Smith2</v>
      </c>
      <c r="B124" s="189"/>
      <c r="C124" s="86" t="s">
        <v>3</v>
      </c>
      <c r="D124" s="4"/>
      <c r="E124" s="3">
        <v>101</v>
      </c>
      <c r="F124" s="4"/>
      <c r="G124" s="5">
        <v>175</v>
      </c>
      <c r="H124" s="5">
        <v>192</v>
      </c>
      <c r="I124" s="3">
        <v>91</v>
      </c>
      <c r="J124" s="3">
        <v>-99</v>
      </c>
      <c r="K124" s="3">
        <v>22</v>
      </c>
      <c r="L124" s="4"/>
      <c r="M124" s="3">
        <v>97</v>
      </c>
      <c r="N124" s="3">
        <v>-69</v>
      </c>
      <c r="O124" s="3">
        <v>57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86">
        <f>SUM(D124:Z124)</f>
        <v>567</v>
      </c>
      <c r="AB124" s="86">
        <f>COUNT(D124:Z124)</f>
        <v>9</v>
      </c>
    </row>
    <row r="125" spans="1:28" s="86" customFormat="1" ht="16" customHeight="1" x14ac:dyDescent="0.2">
      <c r="A125" s="142" t="str">
        <f t="shared" ref="A125" si="141">B123&amp;"3"</f>
        <v>Stan Smith3</v>
      </c>
      <c r="B125" s="189"/>
      <c r="C125" s="86" t="s">
        <v>4</v>
      </c>
      <c r="D125" s="3">
        <v>17</v>
      </c>
      <c r="E125" s="3">
        <v>101</v>
      </c>
      <c r="F125" s="3">
        <v>92</v>
      </c>
      <c r="G125" s="7">
        <v>346</v>
      </c>
      <c r="H125" s="6">
        <v>454</v>
      </c>
      <c r="I125" s="4"/>
      <c r="J125" s="8">
        <v>215</v>
      </c>
      <c r="K125" s="3">
        <v>-99</v>
      </c>
      <c r="L125" s="3">
        <v>7</v>
      </c>
      <c r="M125" s="3">
        <v>119</v>
      </c>
      <c r="N125" s="3">
        <v>-4</v>
      </c>
      <c r="O125" s="3">
        <v>-12</v>
      </c>
      <c r="P125" s="3">
        <v>50</v>
      </c>
      <c r="Q125" s="3">
        <v>87</v>
      </c>
      <c r="R125" s="3">
        <v>59</v>
      </c>
      <c r="S125" s="3">
        <v>-98</v>
      </c>
      <c r="T125" s="4"/>
      <c r="U125" s="4"/>
      <c r="V125" s="4"/>
      <c r="W125" s="4"/>
      <c r="X125" s="4"/>
      <c r="Y125" s="4"/>
      <c r="Z125" s="4"/>
      <c r="AA125" s="86">
        <f>SUM(D125:Z125)</f>
        <v>1334</v>
      </c>
      <c r="AB125" s="86">
        <f>COUNT(D125:Z125)</f>
        <v>15</v>
      </c>
    </row>
    <row r="126" spans="1:28" s="86" customFormat="1" ht="16" customHeight="1" x14ac:dyDescent="0.2">
      <c r="A126" s="142" t="str">
        <f t="shared" ref="A126" si="142">B123&amp;"4"</f>
        <v>Stan Smith4</v>
      </c>
      <c r="B126" s="189"/>
      <c r="C126" s="86" t="s">
        <v>5</v>
      </c>
      <c r="D126" s="3">
        <v>16</v>
      </c>
      <c r="E126" s="3">
        <v>-48</v>
      </c>
      <c r="F126" s="5">
        <v>204</v>
      </c>
      <c r="G126" s="6">
        <v>484</v>
      </c>
      <c r="H126" s="5">
        <v>190</v>
      </c>
      <c r="I126" s="8">
        <v>339</v>
      </c>
      <c r="J126" s="5">
        <v>130</v>
      </c>
      <c r="K126" s="3">
        <v>-21</v>
      </c>
      <c r="L126" s="3">
        <v>93</v>
      </c>
      <c r="M126" s="3">
        <v>-98</v>
      </c>
      <c r="N126" s="3">
        <v>6</v>
      </c>
      <c r="O126" s="3">
        <v>-2</v>
      </c>
      <c r="P126" s="3">
        <v>-21</v>
      </c>
      <c r="Q126" s="3">
        <v>12</v>
      </c>
      <c r="R126" s="3">
        <v>-98</v>
      </c>
      <c r="S126" s="3">
        <v>-99</v>
      </c>
      <c r="T126" s="4"/>
      <c r="U126" s="4"/>
      <c r="V126" s="4"/>
      <c r="W126" s="4"/>
      <c r="X126" s="4"/>
      <c r="Y126" s="4"/>
      <c r="Z126" s="4"/>
      <c r="AA126" s="86">
        <f>SUM(D126:Z126)</f>
        <v>1087</v>
      </c>
      <c r="AB126" s="86">
        <f>COUNT(D126:Z126)</f>
        <v>16</v>
      </c>
    </row>
    <row r="127" spans="1:28" s="86" customFormat="1" ht="16" customHeight="1" x14ac:dyDescent="0.2">
      <c r="A127" s="142" t="str">
        <f t="shared" ref="A127" si="143">B123&amp;"5"</f>
        <v>Stan Smith5</v>
      </c>
      <c r="B127" s="189"/>
      <c r="C127" s="86">
        <f>SUM(D127:Z127)</f>
        <v>3002</v>
      </c>
      <c r="D127" s="86">
        <f>SUM(D123:D126)</f>
        <v>33</v>
      </c>
      <c r="E127" s="86">
        <f t="shared" ref="E127:Z127" si="144">SUM(E123:E126)</f>
        <v>154</v>
      </c>
      <c r="F127" s="86">
        <f t="shared" si="144"/>
        <v>386</v>
      </c>
      <c r="G127" s="86">
        <f t="shared" si="144"/>
        <v>1005</v>
      </c>
      <c r="H127" s="86">
        <f t="shared" si="144"/>
        <v>836</v>
      </c>
      <c r="I127" s="86">
        <f t="shared" si="144"/>
        <v>430</v>
      </c>
      <c r="J127" s="86">
        <f t="shared" si="144"/>
        <v>246</v>
      </c>
      <c r="K127" s="86">
        <f t="shared" si="144"/>
        <v>-98</v>
      </c>
      <c r="L127" s="86">
        <f t="shared" si="144"/>
        <v>90</v>
      </c>
      <c r="M127" s="86">
        <f t="shared" si="144"/>
        <v>52</v>
      </c>
      <c r="N127" s="86">
        <f t="shared" si="144"/>
        <v>-67</v>
      </c>
      <c r="O127" s="86">
        <f t="shared" si="144"/>
        <v>43</v>
      </c>
      <c r="P127" s="86">
        <f t="shared" si="144"/>
        <v>29</v>
      </c>
      <c r="Q127" s="86">
        <f t="shared" si="144"/>
        <v>99</v>
      </c>
      <c r="R127" s="4">
        <f t="shared" si="144"/>
        <v>-39</v>
      </c>
      <c r="S127" s="86">
        <f t="shared" si="144"/>
        <v>-197</v>
      </c>
      <c r="T127" s="86">
        <f t="shared" si="144"/>
        <v>0</v>
      </c>
      <c r="U127" s="86">
        <f t="shared" si="144"/>
        <v>0</v>
      </c>
      <c r="V127" s="86">
        <f t="shared" si="144"/>
        <v>0</v>
      </c>
      <c r="W127" s="86">
        <f t="shared" si="144"/>
        <v>0</v>
      </c>
      <c r="X127" s="86">
        <f t="shared" si="144"/>
        <v>0</v>
      </c>
      <c r="Y127" s="86">
        <f t="shared" si="144"/>
        <v>0</v>
      </c>
      <c r="Z127" s="86">
        <f t="shared" si="144"/>
        <v>0</v>
      </c>
    </row>
    <row r="128" spans="1:28" s="86" customFormat="1" ht="16" customHeight="1" x14ac:dyDescent="0.2">
      <c r="A128" s="142" t="str">
        <f t="shared" ref="A128" si="145">B128&amp;"1"</f>
        <v>Andy Roddick1</v>
      </c>
      <c r="B128" s="189" t="s">
        <v>118</v>
      </c>
      <c r="C128" s="89" t="s">
        <v>2</v>
      </c>
      <c r="D128" s="4"/>
      <c r="E128" s="4"/>
      <c r="F128" s="3">
        <v>1</v>
      </c>
      <c r="G128" s="8">
        <v>230</v>
      </c>
      <c r="H128" s="5">
        <v>147</v>
      </c>
      <c r="I128" s="8">
        <v>237</v>
      </c>
      <c r="J128" s="3">
        <v>-12</v>
      </c>
      <c r="K128" s="8">
        <v>289</v>
      </c>
      <c r="L128" s="3">
        <v>18</v>
      </c>
      <c r="M128" s="8">
        <v>236</v>
      </c>
      <c r="N128" s="5">
        <v>224</v>
      </c>
      <c r="O128" s="3">
        <v>24</v>
      </c>
      <c r="P128" s="3">
        <v>-52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89">
        <f>SUM(D128:Z128)</f>
        <v>1342</v>
      </c>
      <c r="AB128" s="89">
        <f>COUNT(D128:Z128)</f>
        <v>11</v>
      </c>
    </row>
    <row r="129" spans="1:28" s="89" customFormat="1" ht="16" customHeight="1" x14ac:dyDescent="0.2">
      <c r="A129" s="142" t="str">
        <f t="shared" ref="A129" si="146">B128&amp;"2"</f>
        <v>Andy Roddick2</v>
      </c>
      <c r="B129" s="189"/>
      <c r="C129" s="89" t="s">
        <v>3</v>
      </c>
      <c r="D129" s="4"/>
      <c r="E129" s="3">
        <v>60</v>
      </c>
      <c r="F129" s="3">
        <v>-91</v>
      </c>
      <c r="G129" s="3">
        <v>-67</v>
      </c>
      <c r="H129" s="3">
        <v>-62</v>
      </c>
      <c r="I129" s="3">
        <v>-61</v>
      </c>
      <c r="J129" s="3">
        <v>-68</v>
      </c>
      <c r="K129" s="3">
        <v>-99</v>
      </c>
      <c r="L129" s="4"/>
      <c r="M129" s="3">
        <v>59</v>
      </c>
      <c r="N129" s="3">
        <v>-67</v>
      </c>
      <c r="O129" s="4"/>
      <c r="P129" s="3">
        <v>-89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89">
        <f>SUM(D129:Z129)</f>
        <v>-485</v>
      </c>
      <c r="AB129" s="89">
        <f>COUNT(D129:Z129)</f>
        <v>10</v>
      </c>
    </row>
    <row r="130" spans="1:28" s="89" customFormat="1" ht="16" customHeight="1" x14ac:dyDescent="0.2">
      <c r="A130" s="142" t="str">
        <f t="shared" ref="A130" si="147">B128&amp;"3"</f>
        <v>Andy Roddick3</v>
      </c>
      <c r="B130" s="189"/>
      <c r="C130" s="89" t="s">
        <v>4</v>
      </c>
      <c r="D130" s="4"/>
      <c r="E130" s="3">
        <v>-12</v>
      </c>
      <c r="F130" s="3">
        <v>66</v>
      </c>
      <c r="G130" s="8">
        <v>258</v>
      </c>
      <c r="H130" s="7">
        <v>240</v>
      </c>
      <c r="I130" s="7">
        <v>353</v>
      </c>
      <c r="J130" s="3">
        <v>-6</v>
      </c>
      <c r="K130" s="5">
        <v>120</v>
      </c>
      <c r="L130" s="3">
        <v>0</v>
      </c>
      <c r="M130" s="7">
        <v>443</v>
      </c>
      <c r="N130" s="3">
        <v>59</v>
      </c>
      <c r="O130" s="3">
        <v>-6</v>
      </c>
      <c r="P130" s="3">
        <v>6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89">
        <f>SUM(D130:Z130)</f>
        <v>1521</v>
      </c>
      <c r="AB130" s="89">
        <f>COUNT(D130:Z130)</f>
        <v>12</v>
      </c>
    </row>
    <row r="131" spans="1:28" s="89" customFormat="1" ht="16" customHeight="1" x14ac:dyDescent="0.2">
      <c r="A131" s="142" t="str">
        <f t="shared" ref="A131" si="148">B128&amp;"4"</f>
        <v>Andy Roddick4</v>
      </c>
      <c r="B131" s="189"/>
      <c r="C131" s="89" t="s">
        <v>5</v>
      </c>
      <c r="D131" s="3">
        <v>-24</v>
      </c>
      <c r="E131" s="5">
        <v>158</v>
      </c>
      <c r="F131" s="5">
        <v>178</v>
      </c>
      <c r="G131" s="6">
        <v>530</v>
      </c>
      <c r="H131" s="5">
        <v>187</v>
      </c>
      <c r="I131" s="3">
        <v>-68</v>
      </c>
      <c r="J131" s="7">
        <v>296</v>
      </c>
      <c r="K131" s="5">
        <v>163</v>
      </c>
      <c r="L131" s="5">
        <v>265</v>
      </c>
      <c r="M131" s="3">
        <v>-20</v>
      </c>
      <c r="N131" s="3">
        <v>-22</v>
      </c>
      <c r="O131" s="5">
        <v>127</v>
      </c>
      <c r="P131" s="3">
        <v>92</v>
      </c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89">
        <f>SUM(D131:Z131)</f>
        <v>1862</v>
      </c>
      <c r="AB131" s="89">
        <f>COUNT(D131:Z131)</f>
        <v>13</v>
      </c>
    </row>
    <row r="132" spans="1:28" s="89" customFormat="1" ht="16" customHeight="1" x14ac:dyDescent="0.2">
      <c r="A132" s="142" t="str">
        <f t="shared" ref="A132" si="149">B128&amp;"5"</f>
        <v>Andy Roddick5</v>
      </c>
      <c r="B132" s="189"/>
      <c r="C132" s="89">
        <f>SUM(D132:Z132)</f>
        <v>4240</v>
      </c>
      <c r="D132" s="89">
        <f>SUM(D128:D131)</f>
        <v>-24</v>
      </c>
      <c r="E132" s="89">
        <f t="shared" ref="E132:Z132" si="150">SUM(E128:E131)</f>
        <v>206</v>
      </c>
      <c r="F132" s="89">
        <f t="shared" si="150"/>
        <v>154</v>
      </c>
      <c r="G132" s="89">
        <f t="shared" si="150"/>
        <v>951</v>
      </c>
      <c r="H132" s="89">
        <f t="shared" si="150"/>
        <v>512</v>
      </c>
      <c r="I132" s="89">
        <f t="shared" si="150"/>
        <v>461</v>
      </c>
      <c r="J132" s="89">
        <f t="shared" si="150"/>
        <v>210</v>
      </c>
      <c r="K132" s="89">
        <f t="shared" si="150"/>
        <v>473</v>
      </c>
      <c r="L132" s="89">
        <f t="shared" si="150"/>
        <v>283</v>
      </c>
      <c r="M132" s="89">
        <f t="shared" si="150"/>
        <v>718</v>
      </c>
      <c r="N132" s="89">
        <f t="shared" si="150"/>
        <v>194</v>
      </c>
      <c r="O132" s="89">
        <f t="shared" si="150"/>
        <v>145</v>
      </c>
      <c r="P132" s="89">
        <f t="shared" si="150"/>
        <v>-43</v>
      </c>
      <c r="Q132" s="89">
        <f t="shared" si="150"/>
        <v>0</v>
      </c>
      <c r="R132" s="4">
        <f t="shared" si="150"/>
        <v>0</v>
      </c>
      <c r="S132" s="89">
        <f t="shared" si="150"/>
        <v>0</v>
      </c>
      <c r="T132" s="89">
        <f t="shared" si="150"/>
        <v>0</v>
      </c>
      <c r="U132" s="89">
        <f t="shared" si="150"/>
        <v>0</v>
      </c>
      <c r="V132" s="89">
        <f t="shared" si="150"/>
        <v>0</v>
      </c>
      <c r="W132" s="89">
        <f t="shared" si="150"/>
        <v>0</v>
      </c>
      <c r="X132" s="89">
        <f t="shared" si="150"/>
        <v>0</v>
      </c>
      <c r="Y132" s="89">
        <f t="shared" si="150"/>
        <v>0</v>
      </c>
      <c r="Z132" s="89">
        <f t="shared" si="150"/>
        <v>0</v>
      </c>
    </row>
    <row r="133" spans="1:28" s="89" customFormat="1" ht="16" customHeight="1" x14ac:dyDescent="0.2">
      <c r="A133" s="142" t="str">
        <f t="shared" ref="A133" si="151">B133&amp;"1"</f>
        <v>Marin Cilic1</v>
      </c>
      <c r="B133" s="189" t="s">
        <v>124</v>
      </c>
      <c r="C133" s="97" t="s">
        <v>2</v>
      </c>
      <c r="D133" s="3">
        <v>-99</v>
      </c>
      <c r="E133" s="3">
        <v>183</v>
      </c>
      <c r="F133" s="3">
        <v>136</v>
      </c>
      <c r="G133" s="8">
        <v>319</v>
      </c>
      <c r="H133" s="3">
        <v>121</v>
      </c>
      <c r="I133" s="4"/>
      <c r="J133" s="3">
        <v>32</v>
      </c>
      <c r="K133" s="3">
        <v>47</v>
      </c>
      <c r="L133" s="4"/>
      <c r="M133" s="3">
        <v>17</v>
      </c>
      <c r="N133" s="3">
        <v>-50</v>
      </c>
      <c r="O133" s="7">
        <v>354</v>
      </c>
      <c r="P133" s="3">
        <v>83</v>
      </c>
      <c r="Q133" s="3">
        <v>165</v>
      </c>
      <c r="R133" s="3">
        <v>-18</v>
      </c>
      <c r="S133" s="3">
        <v>88</v>
      </c>
      <c r="T133" s="3">
        <v>-67</v>
      </c>
      <c r="U133" s="4"/>
      <c r="V133" s="4"/>
      <c r="W133" s="4"/>
      <c r="X133" s="4"/>
      <c r="Y133" s="4"/>
      <c r="Z133" s="4"/>
      <c r="AA133" s="97">
        <f>SUM(D133:Z133)</f>
        <v>1311</v>
      </c>
      <c r="AB133" s="97">
        <f>COUNT(D133:Z133)</f>
        <v>15</v>
      </c>
    </row>
    <row r="134" spans="1:28" s="97" customFormat="1" ht="16" customHeight="1" x14ac:dyDescent="0.2">
      <c r="A134" s="142" t="str">
        <f t="shared" ref="A134" si="152">B133&amp;"2"</f>
        <v>Marin Cilic2</v>
      </c>
      <c r="B134" s="189"/>
      <c r="C134" s="97" t="s">
        <v>3</v>
      </c>
      <c r="D134" s="3">
        <v>-99</v>
      </c>
      <c r="E134" s="3">
        <v>33</v>
      </c>
      <c r="F134" s="3">
        <v>150</v>
      </c>
      <c r="G134" s="3">
        <v>62</v>
      </c>
      <c r="H134" s="3">
        <v>-99</v>
      </c>
      <c r="I134" s="3">
        <v>51</v>
      </c>
      <c r="J134" s="3">
        <v>-55</v>
      </c>
      <c r="K134" s="3">
        <v>21</v>
      </c>
      <c r="L134" s="3">
        <v>91</v>
      </c>
      <c r="M134" s="3">
        <v>-99</v>
      </c>
      <c r="N134" s="5">
        <v>117</v>
      </c>
      <c r="O134" s="5">
        <v>143</v>
      </c>
      <c r="P134" s="20">
        <v>-42</v>
      </c>
      <c r="Q134" s="3">
        <v>-3</v>
      </c>
      <c r="R134" s="3">
        <v>-7</v>
      </c>
      <c r="S134" s="8">
        <v>248</v>
      </c>
      <c r="T134" s="4"/>
      <c r="U134" s="4"/>
      <c r="V134" s="4"/>
      <c r="W134" s="4"/>
      <c r="X134" s="4"/>
      <c r="Y134" s="4"/>
      <c r="Z134" s="4"/>
      <c r="AA134" s="97">
        <f>SUM(D134:Z134)</f>
        <v>512</v>
      </c>
      <c r="AB134" s="97">
        <f>COUNT(D134:Z134)</f>
        <v>16</v>
      </c>
    </row>
    <row r="135" spans="1:28" s="97" customFormat="1" ht="16" customHeight="1" x14ac:dyDescent="0.2">
      <c r="A135" s="142" t="str">
        <f t="shared" ref="A135" si="153">B133&amp;"3"</f>
        <v>Marin Cilic3</v>
      </c>
      <c r="B135" s="189"/>
      <c r="C135" s="97" t="s">
        <v>4</v>
      </c>
      <c r="D135" s="3">
        <v>-55</v>
      </c>
      <c r="E135" s="3">
        <v>64</v>
      </c>
      <c r="F135" s="3">
        <v>34</v>
      </c>
      <c r="G135" s="3">
        <v>-59</v>
      </c>
      <c r="H135" s="3">
        <v>-33</v>
      </c>
      <c r="I135" s="3">
        <v>106</v>
      </c>
      <c r="J135" s="3">
        <v>-20</v>
      </c>
      <c r="K135" s="5">
        <v>177</v>
      </c>
      <c r="L135" s="5">
        <v>104</v>
      </c>
      <c r="M135" s="5">
        <v>100</v>
      </c>
      <c r="N135" s="7">
        <v>384</v>
      </c>
      <c r="O135" s="3">
        <v>-81</v>
      </c>
      <c r="P135" s="3">
        <v>-11</v>
      </c>
      <c r="Q135" s="4"/>
      <c r="R135" s="3">
        <v>3</v>
      </c>
      <c r="S135" s="4"/>
      <c r="T135" s="4"/>
      <c r="U135" s="4"/>
      <c r="V135" s="4"/>
      <c r="W135" s="4"/>
      <c r="X135" s="4"/>
      <c r="Y135" s="4"/>
      <c r="Z135" s="4"/>
      <c r="AA135" s="97">
        <f>SUM(D135:Z135)</f>
        <v>713</v>
      </c>
      <c r="AB135" s="97">
        <f>COUNT(D135:Z135)</f>
        <v>14</v>
      </c>
    </row>
    <row r="136" spans="1:28" s="97" customFormat="1" ht="16" customHeight="1" x14ac:dyDescent="0.2">
      <c r="A136" s="142" t="str">
        <f t="shared" ref="A136" si="154">B133&amp;"4"</f>
        <v>Marin Cilic4</v>
      </c>
      <c r="B136" s="189"/>
      <c r="C136" s="97" t="s">
        <v>5</v>
      </c>
      <c r="D136" s="4"/>
      <c r="E136" s="3">
        <v>79</v>
      </c>
      <c r="F136" s="5">
        <v>105</v>
      </c>
      <c r="G136" s="3">
        <v>-72</v>
      </c>
      <c r="H136" s="3">
        <v>71</v>
      </c>
      <c r="I136" s="5">
        <v>177</v>
      </c>
      <c r="J136" s="4"/>
      <c r="K136" s="6">
        <v>503</v>
      </c>
      <c r="L136" s="8">
        <v>224</v>
      </c>
      <c r="M136" s="3">
        <v>-18</v>
      </c>
      <c r="N136" s="3">
        <v>-2</v>
      </c>
      <c r="O136" s="5">
        <v>153</v>
      </c>
      <c r="P136" s="3">
        <v>102</v>
      </c>
      <c r="Q136" s="3">
        <v>0</v>
      </c>
      <c r="R136" s="3">
        <v>-99</v>
      </c>
      <c r="S136" s="3">
        <v>136</v>
      </c>
      <c r="T136" s="4"/>
      <c r="U136" s="4"/>
      <c r="V136" s="4"/>
      <c r="W136" s="4"/>
      <c r="X136" s="4"/>
      <c r="Y136" s="4"/>
      <c r="Z136" s="4"/>
      <c r="AA136" s="97">
        <f>SUM(D136:Z136)</f>
        <v>1359</v>
      </c>
      <c r="AB136" s="97">
        <f>COUNT(D136:Z136)</f>
        <v>14</v>
      </c>
    </row>
    <row r="137" spans="1:28" s="97" customFormat="1" ht="16" customHeight="1" x14ac:dyDescent="0.2">
      <c r="A137" s="142" t="str">
        <f t="shared" ref="A137" si="155">B133&amp;"5"</f>
        <v>Marin Cilic5</v>
      </c>
      <c r="B137" s="189"/>
      <c r="C137" s="97">
        <f>SUM(D137:Z137)</f>
        <v>3895</v>
      </c>
      <c r="D137" s="97">
        <f>SUM(D133:D136)</f>
        <v>-253</v>
      </c>
      <c r="E137" s="97">
        <f t="shared" ref="E137:Z137" si="156">SUM(E133:E136)</f>
        <v>359</v>
      </c>
      <c r="F137" s="97">
        <f t="shared" si="156"/>
        <v>425</v>
      </c>
      <c r="G137" s="97">
        <f t="shared" si="156"/>
        <v>250</v>
      </c>
      <c r="H137" s="97">
        <f t="shared" si="156"/>
        <v>60</v>
      </c>
      <c r="I137" s="97">
        <f t="shared" si="156"/>
        <v>334</v>
      </c>
      <c r="J137" s="97">
        <f t="shared" si="156"/>
        <v>-43</v>
      </c>
      <c r="K137" s="97">
        <f t="shared" si="156"/>
        <v>748</v>
      </c>
      <c r="L137" s="97">
        <f t="shared" si="156"/>
        <v>419</v>
      </c>
      <c r="M137" s="97">
        <f t="shared" si="156"/>
        <v>0</v>
      </c>
      <c r="N137" s="97">
        <f t="shared" si="156"/>
        <v>449</v>
      </c>
      <c r="O137" s="97">
        <f t="shared" si="156"/>
        <v>569</v>
      </c>
      <c r="P137" s="97">
        <f t="shared" si="156"/>
        <v>132</v>
      </c>
      <c r="Q137" s="97">
        <f t="shared" si="156"/>
        <v>162</v>
      </c>
      <c r="R137" s="4">
        <f t="shared" si="156"/>
        <v>-121</v>
      </c>
      <c r="S137" s="97">
        <f t="shared" si="156"/>
        <v>472</v>
      </c>
      <c r="T137" s="97">
        <f t="shared" si="156"/>
        <v>-67</v>
      </c>
      <c r="U137" s="97">
        <f t="shared" si="156"/>
        <v>0</v>
      </c>
      <c r="V137" s="97">
        <f t="shared" si="156"/>
        <v>0</v>
      </c>
      <c r="W137" s="97">
        <f t="shared" si="156"/>
        <v>0</v>
      </c>
      <c r="X137" s="97">
        <f t="shared" si="156"/>
        <v>0</v>
      </c>
      <c r="Y137" s="97">
        <f t="shared" si="156"/>
        <v>0</v>
      </c>
      <c r="Z137" s="97">
        <f t="shared" si="156"/>
        <v>0</v>
      </c>
    </row>
    <row r="138" spans="1:28" s="97" customFormat="1" ht="16" customHeight="1" x14ac:dyDescent="0.2">
      <c r="A138" s="142" t="str">
        <f t="shared" ref="A138" si="157">B138&amp;"1"</f>
        <v>Juan Martin Del Potro1</v>
      </c>
      <c r="B138" s="189" t="s">
        <v>125</v>
      </c>
      <c r="C138" s="99" t="s">
        <v>2</v>
      </c>
      <c r="D138" s="4"/>
      <c r="E138" s="3">
        <v>-2</v>
      </c>
      <c r="F138" s="3">
        <v>8</v>
      </c>
      <c r="G138" s="5">
        <v>122</v>
      </c>
      <c r="H138" s="3">
        <v>91</v>
      </c>
      <c r="I138" s="3">
        <v>-13</v>
      </c>
      <c r="J138" s="5">
        <v>97</v>
      </c>
      <c r="K138" s="3">
        <v>-1</v>
      </c>
      <c r="L138" s="3">
        <v>-61</v>
      </c>
      <c r="M138" s="4"/>
      <c r="N138" s="4"/>
      <c r="O138" s="4"/>
      <c r="P138" s="3">
        <v>53</v>
      </c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99">
        <f>SUM(D138:Z138)</f>
        <v>294</v>
      </c>
      <c r="AB138" s="99">
        <f>COUNT(D138:Z138)</f>
        <v>9</v>
      </c>
    </row>
    <row r="139" spans="1:28" s="99" customFormat="1" ht="16" customHeight="1" x14ac:dyDescent="0.2">
      <c r="A139" s="142" t="str">
        <f t="shared" ref="A139" si="158">B138&amp;"2"</f>
        <v>Juan Martin Del Potro2</v>
      </c>
      <c r="B139" s="189"/>
      <c r="C139" s="99" t="s">
        <v>3</v>
      </c>
      <c r="D139" s="3">
        <v>-24</v>
      </c>
      <c r="E139" s="3">
        <v>-2</v>
      </c>
      <c r="F139" s="3">
        <v>-46</v>
      </c>
      <c r="G139" s="8">
        <v>358</v>
      </c>
      <c r="H139" s="4"/>
      <c r="I139" s="3">
        <v>17</v>
      </c>
      <c r="J139" s="5">
        <v>222</v>
      </c>
      <c r="K139" s="4"/>
      <c r="L139" s="4"/>
      <c r="M139" s="4"/>
      <c r="N139" s="4"/>
      <c r="O139" s="3">
        <v>31</v>
      </c>
      <c r="P139" s="8">
        <v>315</v>
      </c>
      <c r="Q139" s="20">
        <v>90</v>
      </c>
      <c r="R139" s="4"/>
      <c r="S139" s="4"/>
      <c r="T139" s="4"/>
      <c r="U139" s="4"/>
      <c r="V139" s="4"/>
      <c r="W139" s="4"/>
      <c r="X139" s="4"/>
      <c r="Y139" s="4"/>
      <c r="Z139" s="4"/>
      <c r="AA139" s="99">
        <f>SUM(D139:Z139)</f>
        <v>961</v>
      </c>
      <c r="AB139" s="99">
        <f>COUNT(D139:Z139)</f>
        <v>9</v>
      </c>
    </row>
    <row r="140" spans="1:28" s="99" customFormat="1" ht="16" customHeight="1" x14ac:dyDescent="0.2">
      <c r="A140" s="142" t="str">
        <f t="shared" ref="A140" si="159">B138&amp;"3"</f>
        <v>Juan Martin Del Potro3</v>
      </c>
      <c r="B140" s="189"/>
      <c r="C140" s="99" t="s">
        <v>4</v>
      </c>
      <c r="D140" s="4"/>
      <c r="E140" s="3">
        <v>0</v>
      </c>
      <c r="F140" s="3">
        <v>-12</v>
      </c>
      <c r="G140" s="3">
        <v>-9</v>
      </c>
      <c r="H140" s="4"/>
      <c r="I140" s="3">
        <v>112</v>
      </c>
      <c r="J140" s="3">
        <v>175</v>
      </c>
      <c r="K140" s="8">
        <v>276</v>
      </c>
      <c r="L140" s="4"/>
      <c r="M140" s="4"/>
      <c r="N140" s="3">
        <v>84</v>
      </c>
      <c r="O140" s="3">
        <v>-98</v>
      </c>
      <c r="P140" s="5">
        <v>199</v>
      </c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99">
        <f>SUM(D140:Z140)</f>
        <v>727</v>
      </c>
      <c r="AB140" s="99">
        <f>COUNT(D140:Z140)</f>
        <v>9</v>
      </c>
    </row>
    <row r="141" spans="1:28" s="99" customFormat="1" ht="16" customHeight="1" x14ac:dyDescent="0.2">
      <c r="A141" s="142" t="str">
        <f t="shared" ref="A141" si="160">B138&amp;"4"</f>
        <v>Juan Martin Del Potro4</v>
      </c>
      <c r="B141" s="189"/>
      <c r="C141" s="99" t="s">
        <v>5</v>
      </c>
      <c r="D141" s="3">
        <v>-99</v>
      </c>
      <c r="E141" s="3">
        <v>94</v>
      </c>
      <c r="F141" s="5">
        <v>150</v>
      </c>
      <c r="G141" s="6">
        <v>565</v>
      </c>
      <c r="H141" s="4"/>
      <c r="I141" s="3">
        <v>4</v>
      </c>
      <c r="J141" s="5">
        <v>165</v>
      </c>
      <c r="K141" s="3">
        <v>-40</v>
      </c>
      <c r="L141" s="4"/>
      <c r="M141" s="4"/>
      <c r="N141" s="5">
        <v>300</v>
      </c>
      <c r="O141" s="8">
        <v>306</v>
      </c>
      <c r="P141" s="7">
        <v>390</v>
      </c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99">
        <f>SUM(D141:Z141)</f>
        <v>1835</v>
      </c>
      <c r="AB141" s="99">
        <f>COUNT(D141:Z141)</f>
        <v>10</v>
      </c>
    </row>
    <row r="142" spans="1:28" s="99" customFormat="1" ht="16" customHeight="1" x14ac:dyDescent="0.2">
      <c r="A142" s="142" t="str">
        <f t="shared" ref="A142" si="161">B138&amp;"5"</f>
        <v>Juan Martin Del Potro5</v>
      </c>
      <c r="B142" s="189"/>
      <c r="C142" s="99">
        <f>SUM(D142:Z142)</f>
        <v>3817</v>
      </c>
      <c r="D142" s="99">
        <f>SUM(D138:D141)</f>
        <v>-123</v>
      </c>
      <c r="E142" s="99">
        <f t="shared" ref="E142:Z142" si="162">SUM(E138:E141)</f>
        <v>90</v>
      </c>
      <c r="F142" s="99">
        <f t="shared" si="162"/>
        <v>100</v>
      </c>
      <c r="G142" s="99">
        <f t="shared" si="162"/>
        <v>1036</v>
      </c>
      <c r="H142" s="99">
        <f t="shared" si="162"/>
        <v>91</v>
      </c>
      <c r="I142" s="99">
        <f t="shared" si="162"/>
        <v>120</v>
      </c>
      <c r="J142" s="99">
        <f t="shared" si="162"/>
        <v>659</v>
      </c>
      <c r="K142" s="99">
        <f t="shared" si="162"/>
        <v>235</v>
      </c>
      <c r="L142" s="99">
        <f t="shared" si="162"/>
        <v>-61</v>
      </c>
      <c r="M142" s="99">
        <f t="shared" si="162"/>
        <v>0</v>
      </c>
      <c r="N142" s="99">
        <f t="shared" si="162"/>
        <v>384</v>
      </c>
      <c r="O142" s="99">
        <f t="shared" si="162"/>
        <v>239</v>
      </c>
      <c r="P142" s="99">
        <f t="shared" si="162"/>
        <v>957</v>
      </c>
      <c r="Q142" s="99">
        <f t="shared" si="162"/>
        <v>90</v>
      </c>
      <c r="R142" s="4">
        <f t="shared" si="162"/>
        <v>0</v>
      </c>
      <c r="S142" s="99">
        <f t="shared" si="162"/>
        <v>0</v>
      </c>
      <c r="T142" s="99">
        <f t="shared" si="162"/>
        <v>0</v>
      </c>
      <c r="U142" s="99">
        <f t="shared" si="162"/>
        <v>0</v>
      </c>
      <c r="V142" s="99">
        <f t="shared" si="162"/>
        <v>0</v>
      </c>
      <c r="W142" s="99">
        <f t="shared" si="162"/>
        <v>0</v>
      </c>
      <c r="X142" s="99">
        <f t="shared" si="162"/>
        <v>0</v>
      </c>
      <c r="Y142" s="99">
        <f t="shared" si="162"/>
        <v>0</v>
      </c>
      <c r="Z142" s="99">
        <f t="shared" si="162"/>
        <v>0</v>
      </c>
    </row>
    <row r="143" spans="1:28" s="99" customFormat="1" ht="16" customHeight="1" x14ac:dyDescent="0.2">
      <c r="A143" s="142" t="str">
        <f t="shared" ref="A143" si="163">B143&amp;"1"</f>
        <v>Michael Chang1</v>
      </c>
      <c r="B143" s="189" t="s">
        <v>206</v>
      </c>
      <c r="C143" s="101" t="s">
        <v>2</v>
      </c>
      <c r="D143" s="4"/>
      <c r="E143" s="4"/>
      <c r="F143" s="4"/>
      <c r="G143" s="4"/>
      <c r="H143" s="4"/>
      <c r="I143" s="3">
        <v>19</v>
      </c>
      <c r="J143" s="3">
        <v>-46</v>
      </c>
      <c r="K143" s="4"/>
      <c r="L143" s="8">
        <v>175</v>
      </c>
      <c r="M143" s="7">
        <v>231</v>
      </c>
      <c r="N143" s="8">
        <v>306</v>
      </c>
      <c r="O143" s="3">
        <v>-37</v>
      </c>
      <c r="P143" s="3">
        <v>-3</v>
      </c>
      <c r="Q143" s="3">
        <v>-62</v>
      </c>
      <c r="R143" s="3">
        <v>-47</v>
      </c>
      <c r="S143" s="3">
        <v>-11</v>
      </c>
      <c r="T143" s="4"/>
      <c r="U143" s="4"/>
      <c r="V143" s="4"/>
      <c r="W143" s="4"/>
      <c r="X143" s="4"/>
      <c r="Y143" s="4"/>
      <c r="Z143" s="4"/>
      <c r="AA143" s="101">
        <f>SUM(D143:Z143)</f>
        <v>525</v>
      </c>
      <c r="AB143" s="101">
        <f>COUNT(D143:Z143)</f>
        <v>10</v>
      </c>
    </row>
    <row r="144" spans="1:28" s="101" customFormat="1" ht="16" customHeight="1" x14ac:dyDescent="0.2">
      <c r="A144" s="142" t="str">
        <f t="shared" ref="A144" si="164">B143&amp;"2"</f>
        <v>Michael Chang2</v>
      </c>
      <c r="B144" s="189"/>
      <c r="C144" s="101" t="s">
        <v>3</v>
      </c>
      <c r="D144" s="4"/>
      <c r="E144" s="3">
        <v>4</v>
      </c>
      <c r="F144" s="6">
        <v>389</v>
      </c>
      <c r="G144" s="5">
        <v>147</v>
      </c>
      <c r="H144" s="5">
        <v>162</v>
      </c>
      <c r="I144" s="3">
        <v>-16</v>
      </c>
      <c r="J144" s="3">
        <v>-38</v>
      </c>
      <c r="K144" s="3">
        <v>22</v>
      </c>
      <c r="L144" s="7">
        <v>272</v>
      </c>
      <c r="M144" s="3">
        <v>10</v>
      </c>
      <c r="N144" s="3">
        <v>-13</v>
      </c>
      <c r="O144" s="3">
        <v>-6</v>
      </c>
      <c r="P144" s="3">
        <v>-1</v>
      </c>
      <c r="Q144" s="3">
        <v>43</v>
      </c>
      <c r="R144" s="3">
        <v>-47</v>
      </c>
      <c r="S144" s="3">
        <v>-99</v>
      </c>
      <c r="T144" s="3">
        <v>-54</v>
      </c>
      <c r="U144" s="4"/>
      <c r="V144" s="4"/>
      <c r="W144" s="4"/>
      <c r="X144" s="4"/>
      <c r="Y144" s="4"/>
      <c r="Z144" s="4"/>
      <c r="AA144" s="101">
        <f>SUM(D144:Z144)</f>
        <v>775</v>
      </c>
      <c r="AB144" s="101">
        <f>COUNT(D144:Z144)</f>
        <v>16</v>
      </c>
    </row>
    <row r="145" spans="1:28" s="101" customFormat="1" ht="16" customHeight="1" x14ac:dyDescent="0.2">
      <c r="A145" s="142" t="str">
        <f t="shared" ref="A145" si="165">B143&amp;"3"</f>
        <v>Michael Chang3</v>
      </c>
      <c r="B145" s="189"/>
      <c r="C145" s="101" t="s">
        <v>4</v>
      </c>
      <c r="D145" s="4"/>
      <c r="E145" s="3">
        <v>-6</v>
      </c>
      <c r="F145" s="3">
        <v>94</v>
      </c>
      <c r="G145" s="3">
        <v>69</v>
      </c>
      <c r="H145" s="3">
        <v>-92</v>
      </c>
      <c r="I145" s="3">
        <v>-99</v>
      </c>
      <c r="J145" s="3">
        <v>10</v>
      </c>
      <c r="K145" s="5">
        <v>124</v>
      </c>
      <c r="L145" s="3">
        <v>-35</v>
      </c>
      <c r="M145" s="3">
        <v>-17</v>
      </c>
      <c r="N145" s="3">
        <v>-37</v>
      </c>
      <c r="O145" s="3">
        <v>-14</v>
      </c>
      <c r="P145" s="4"/>
      <c r="Q145" s="3">
        <v>-40</v>
      </c>
      <c r="R145" s="3">
        <v>-35</v>
      </c>
      <c r="S145" s="3">
        <v>-17</v>
      </c>
      <c r="T145" s="4"/>
      <c r="U145" s="4"/>
      <c r="V145" s="4"/>
      <c r="W145" s="4"/>
      <c r="X145" s="4"/>
      <c r="Y145" s="4"/>
      <c r="Z145" s="4"/>
      <c r="AA145" s="101">
        <f>SUM(D145:Z145)</f>
        <v>-95</v>
      </c>
      <c r="AB145" s="101">
        <f>COUNT(D145:Z145)</f>
        <v>14</v>
      </c>
    </row>
    <row r="146" spans="1:28" s="101" customFormat="1" ht="16" customHeight="1" x14ac:dyDescent="0.2">
      <c r="A146" s="142" t="str">
        <f t="shared" ref="A146" si="166">B143&amp;"4"</f>
        <v>Michael Chang4</v>
      </c>
      <c r="B146" s="189"/>
      <c r="C146" s="101" t="s">
        <v>5</v>
      </c>
      <c r="D146" s="3">
        <v>-86</v>
      </c>
      <c r="E146" s="3">
        <v>163</v>
      </c>
      <c r="F146" s="3">
        <v>18</v>
      </c>
      <c r="G146" s="3">
        <v>-7</v>
      </c>
      <c r="H146" s="3">
        <v>84</v>
      </c>
      <c r="I146" s="8">
        <v>257</v>
      </c>
      <c r="J146" s="5">
        <v>151</v>
      </c>
      <c r="K146" s="3">
        <v>68</v>
      </c>
      <c r="L146" s="5">
        <v>84</v>
      </c>
      <c r="M146" s="7">
        <v>239</v>
      </c>
      <c r="N146" s="8">
        <v>204</v>
      </c>
      <c r="O146" s="3">
        <v>-9</v>
      </c>
      <c r="P146" s="3">
        <v>-31</v>
      </c>
      <c r="Q146" s="3">
        <v>0</v>
      </c>
      <c r="R146" s="3">
        <v>-26</v>
      </c>
      <c r="S146" s="3">
        <v>3</v>
      </c>
      <c r="T146" s="3">
        <v>-15</v>
      </c>
      <c r="U146" s="4"/>
      <c r="V146" s="4"/>
      <c r="W146" s="4"/>
      <c r="X146" s="4"/>
      <c r="Y146" s="4"/>
      <c r="Z146" s="4"/>
      <c r="AA146" s="101">
        <f>SUM(D146:Z146)</f>
        <v>1097</v>
      </c>
      <c r="AB146" s="101">
        <f>COUNT(D146:Z146)</f>
        <v>17</v>
      </c>
    </row>
    <row r="147" spans="1:28" s="101" customFormat="1" ht="16" customHeight="1" x14ac:dyDescent="0.2">
      <c r="A147" s="142" t="str">
        <f t="shared" ref="A147" si="167">B143&amp;"5"</f>
        <v>Michael Chang5</v>
      </c>
      <c r="B147" s="189"/>
      <c r="C147" s="101">
        <f>SUM(D147:Z147)</f>
        <v>2302</v>
      </c>
      <c r="D147" s="101">
        <f>SUM(D143:D146)</f>
        <v>-86</v>
      </c>
      <c r="E147" s="101">
        <f t="shared" ref="E147:Z147" si="168">SUM(E143:E146)</f>
        <v>161</v>
      </c>
      <c r="F147" s="101">
        <f t="shared" si="168"/>
        <v>501</v>
      </c>
      <c r="G147" s="101">
        <f t="shared" si="168"/>
        <v>209</v>
      </c>
      <c r="H147" s="101">
        <f t="shared" si="168"/>
        <v>154</v>
      </c>
      <c r="I147" s="101">
        <f t="shared" si="168"/>
        <v>161</v>
      </c>
      <c r="J147" s="101">
        <f t="shared" si="168"/>
        <v>77</v>
      </c>
      <c r="K147" s="101">
        <f t="shared" si="168"/>
        <v>214</v>
      </c>
      <c r="L147" s="101">
        <f t="shared" si="168"/>
        <v>496</v>
      </c>
      <c r="M147" s="101">
        <f t="shared" si="168"/>
        <v>463</v>
      </c>
      <c r="N147" s="101">
        <f t="shared" si="168"/>
        <v>460</v>
      </c>
      <c r="O147" s="101">
        <f t="shared" si="168"/>
        <v>-66</v>
      </c>
      <c r="P147" s="101">
        <f t="shared" si="168"/>
        <v>-35</v>
      </c>
      <c r="Q147" s="101">
        <f t="shared" si="168"/>
        <v>-59</v>
      </c>
      <c r="R147" s="4">
        <f t="shared" si="168"/>
        <v>-155</v>
      </c>
      <c r="S147" s="101">
        <f t="shared" si="168"/>
        <v>-124</v>
      </c>
      <c r="T147" s="101">
        <f t="shared" si="168"/>
        <v>-69</v>
      </c>
      <c r="U147" s="101">
        <f t="shared" si="168"/>
        <v>0</v>
      </c>
      <c r="V147" s="101">
        <f t="shared" si="168"/>
        <v>0</v>
      </c>
      <c r="W147" s="101">
        <f t="shared" si="168"/>
        <v>0</v>
      </c>
      <c r="X147" s="101">
        <f t="shared" si="168"/>
        <v>0</v>
      </c>
      <c r="Y147" s="101">
        <f t="shared" si="168"/>
        <v>0</v>
      </c>
      <c r="Z147" s="101">
        <f t="shared" si="168"/>
        <v>0</v>
      </c>
    </row>
    <row r="148" spans="1:28" s="114" customFormat="1" ht="16" customHeight="1" x14ac:dyDescent="0.2">
      <c r="A148" s="142" t="str">
        <f t="shared" ref="A148" si="169">B148&amp;"1"</f>
        <v>Dominic Thiem1</v>
      </c>
      <c r="B148" s="189" t="s">
        <v>211</v>
      </c>
      <c r="C148" s="114" t="s">
        <v>2</v>
      </c>
      <c r="D148" s="3">
        <v>29</v>
      </c>
      <c r="E148" s="3">
        <v>-16</v>
      </c>
      <c r="F148" s="3">
        <v>75</v>
      </c>
      <c r="G148" s="3">
        <v>108</v>
      </c>
      <c r="H148" s="3">
        <v>21</v>
      </c>
      <c r="I148" s="3">
        <v>-60</v>
      </c>
      <c r="J148" s="7">
        <v>433</v>
      </c>
      <c r="K148" s="3">
        <v>75</v>
      </c>
      <c r="L148" s="4"/>
      <c r="M148" s="3">
        <v>-5</v>
      </c>
      <c r="N148" s="3">
        <v>-27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114">
        <f>SUM(D148:Z148)</f>
        <v>633</v>
      </c>
      <c r="AB148" s="114">
        <f>COUNT(D148:Z148)</f>
        <v>10</v>
      </c>
    </row>
    <row r="149" spans="1:28" s="114" customFormat="1" ht="16" customHeight="1" x14ac:dyDescent="0.2">
      <c r="A149" s="142" t="str">
        <f t="shared" ref="A149" si="170">B148&amp;"2"</f>
        <v>Dominic Thiem2</v>
      </c>
      <c r="B149" s="189"/>
      <c r="C149" s="114" t="s">
        <v>3</v>
      </c>
      <c r="D149" s="3">
        <v>9</v>
      </c>
      <c r="E149" s="3">
        <v>2</v>
      </c>
      <c r="F149" s="8">
        <v>289</v>
      </c>
      <c r="G149" s="8">
        <v>285</v>
      </c>
      <c r="H149" s="7">
        <v>319</v>
      </c>
      <c r="I149" s="7">
        <v>362</v>
      </c>
      <c r="J149" s="22">
        <v>132</v>
      </c>
      <c r="K149" s="3">
        <v>-68</v>
      </c>
      <c r="L149" s="3">
        <v>-90</v>
      </c>
      <c r="M149" s="3">
        <v>-64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114">
        <f>SUM(D149:Z149)</f>
        <v>1176</v>
      </c>
      <c r="AB149" s="114">
        <f>COUNT(D149:Z149)</f>
        <v>10</v>
      </c>
    </row>
    <row r="150" spans="1:28" s="114" customFormat="1" ht="16" customHeight="1" x14ac:dyDescent="0.2">
      <c r="A150" s="142" t="str">
        <f t="shared" ref="A150" si="171">B148&amp;"3"</f>
        <v>Dominic Thiem3</v>
      </c>
      <c r="B150" s="189"/>
      <c r="C150" s="114" t="s">
        <v>4</v>
      </c>
      <c r="D150" s="3">
        <v>-99</v>
      </c>
      <c r="E150" s="3">
        <v>-28</v>
      </c>
      <c r="F150" s="3">
        <v>-44</v>
      </c>
      <c r="G150" s="3">
        <v>109</v>
      </c>
      <c r="H150" s="3">
        <v>-95</v>
      </c>
      <c r="I150" s="3">
        <v>-65</v>
      </c>
      <c r="J150" s="4"/>
      <c r="K150" s="4"/>
      <c r="L150" s="4"/>
      <c r="M150" s="3">
        <v>-5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114">
        <f>SUM(D150:Z150)</f>
        <v>-227</v>
      </c>
      <c r="AB150" s="114">
        <f>COUNT(D150:Z150)</f>
        <v>7</v>
      </c>
    </row>
    <row r="151" spans="1:28" s="114" customFormat="1" ht="16" customHeight="1" x14ac:dyDescent="0.2">
      <c r="A151" s="142" t="str">
        <f t="shared" ref="A151" si="172">B148&amp;"4"</f>
        <v>Dominic Thiem4</v>
      </c>
      <c r="B151" s="189"/>
      <c r="C151" s="114" t="s">
        <v>5</v>
      </c>
      <c r="D151" s="3">
        <v>176</v>
      </c>
      <c r="E151" s="3">
        <v>40</v>
      </c>
      <c r="F151" s="3">
        <v>7</v>
      </c>
      <c r="G151" s="3">
        <v>40</v>
      </c>
      <c r="H151" s="5">
        <v>218</v>
      </c>
      <c r="I151" s="3">
        <v>-87</v>
      </c>
      <c r="J151" s="6">
        <v>477</v>
      </c>
      <c r="K151" s="4"/>
      <c r="L151" s="3">
        <v>-12</v>
      </c>
      <c r="M151" s="3">
        <v>28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114">
        <f>SUM(D151:Z151)</f>
        <v>887</v>
      </c>
      <c r="AB151" s="114">
        <f>COUNT(D151:Z151)</f>
        <v>9</v>
      </c>
    </row>
    <row r="152" spans="1:28" s="114" customFormat="1" ht="16" customHeight="1" x14ac:dyDescent="0.2">
      <c r="A152" s="142" t="str">
        <f t="shared" ref="A152" si="173">B148&amp;"5"</f>
        <v>Dominic Thiem5</v>
      </c>
      <c r="B152" s="189"/>
      <c r="C152" s="114">
        <f>SUM(D152:Z152)</f>
        <v>2469</v>
      </c>
      <c r="D152" s="114">
        <f>SUM(D148:D151)</f>
        <v>115</v>
      </c>
      <c r="E152" s="114">
        <f t="shared" ref="E152:Z152" si="174">SUM(E148:E151)</f>
        <v>-2</v>
      </c>
      <c r="F152" s="114">
        <f t="shared" si="174"/>
        <v>327</v>
      </c>
      <c r="G152" s="114">
        <f t="shared" si="174"/>
        <v>542</v>
      </c>
      <c r="H152" s="114">
        <f t="shared" si="174"/>
        <v>463</v>
      </c>
      <c r="I152" s="114">
        <f t="shared" si="174"/>
        <v>150</v>
      </c>
      <c r="J152" s="114">
        <f t="shared" si="174"/>
        <v>1042</v>
      </c>
      <c r="K152" s="114">
        <f t="shared" si="174"/>
        <v>7</v>
      </c>
      <c r="L152" s="114">
        <f t="shared" si="174"/>
        <v>-102</v>
      </c>
      <c r="M152" s="114">
        <f t="shared" si="174"/>
        <v>-46</v>
      </c>
      <c r="N152" s="114">
        <f t="shared" si="174"/>
        <v>-27</v>
      </c>
      <c r="O152" s="114">
        <f t="shared" si="174"/>
        <v>0</v>
      </c>
      <c r="P152" s="114">
        <f t="shared" si="174"/>
        <v>0</v>
      </c>
      <c r="Q152" s="114">
        <f t="shared" si="174"/>
        <v>0</v>
      </c>
      <c r="R152" s="4">
        <f t="shared" si="174"/>
        <v>0</v>
      </c>
      <c r="S152" s="114">
        <f t="shared" si="174"/>
        <v>0</v>
      </c>
      <c r="T152" s="114">
        <f t="shared" si="174"/>
        <v>0</v>
      </c>
      <c r="U152" s="114">
        <f t="shared" si="174"/>
        <v>0</v>
      </c>
      <c r="V152" s="114">
        <f t="shared" si="174"/>
        <v>0</v>
      </c>
      <c r="W152" s="114">
        <f t="shared" si="174"/>
        <v>0</v>
      </c>
      <c r="X152" s="114">
        <f t="shared" si="174"/>
        <v>0</v>
      </c>
      <c r="Y152" s="114">
        <f t="shared" si="174"/>
        <v>0</v>
      </c>
      <c r="Z152" s="114">
        <f t="shared" si="174"/>
        <v>0</v>
      </c>
    </row>
    <row r="153" spans="1:28" s="120" customFormat="1" ht="16" customHeight="1" x14ac:dyDescent="0.2">
      <c r="A153" s="142" t="str">
        <f t="shared" ref="A153" si="175">B153&amp;"1"</f>
        <v>Johan Kriek1</v>
      </c>
      <c r="B153" s="189" t="s">
        <v>120</v>
      </c>
      <c r="C153" s="120" t="s">
        <v>2</v>
      </c>
      <c r="D153" s="4"/>
      <c r="E153" s="4"/>
      <c r="F153" s="4"/>
      <c r="G153" s="6">
        <v>465</v>
      </c>
      <c r="H153" s="6">
        <v>236</v>
      </c>
      <c r="I153" s="5">
        <v>10</v>
      </c>
      <c r="J153" s="8">
        <v>157</v>
      </c>
      <c r="K153" s="5">
        <v>26</v>
      </c>
      <c r="L153" s="4"/>
      <c r="M153" s="3">
        <v>-99</v>
      </c>
      <c r="N153" s="3">
        <v>-53</v>
      </c>
      <c r="O153" s="3">
        <v>-2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120">
        <f>SUM(D153:Z153)</f>
        <v>740</v>
      </c>
      <c r="AB153" s="120">
        <f>COUNT(D153:Z153)</f>
        <v>8</v>
      </c>
    </row>
    <row r="154" spans="1:28" s="120" customFormat="1" ht="16" customHeight="1" x14ac:dyDescent="0.2">
      <c r="A154" s="142" t="str">
        <f t="shared" ref="A154" si="176">B153&amp;"2"</f>
        <v>Johan Kriek2</v>
      </c>
      <c r="B154" s="189"/>
      <c r="C154" s="120" t="s">
        <v>3</v>
      </c>
      <c r="D154" s="4"/>
      <c r="E154" s="3">
        <v>-99</v>
      </c>
      <c r="F154" s="4"/>
      <c r="G154" s="4"/>
      <c r="H154" s="4"/>
      <c r="I154" s="4"/>
      <c r="J154" s="19"/>
      <c r="K154" s="19"/>
      <c r="L154" s="8">
        <v>182</v>
      </c>
      <c r="M154" s="3">
        <v>-18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120">
        <f>SUM(D154:Z154)</f>
        <v>65</v>
      </c>
      <c r="AB154" s="120">
        <f>COUNT(D154:Z154)</f>
        <v>3</v>
      </c>
    </row>
    <row r="155" spans="1:28" s="120" customFormat="1" ht="16" customHeight="1" x14ac:dyDescent="0.2">
      <c r="A155" s="142" t="str">
        <f t="shared" ref="A155" si="177">B153&amp;"3"</f>
        <v>Johan Kriek3</v>
      </c>
      <c r="B155" s="189"/>
      <c r="C155" s="120" t="s">
        <v>4</v>
      </c>
      <c r="D155" s="3">
        <v>-12</v>
      </c>
      <c r="E155" s="3">
        <v>61</v>
      </c>
      <c r="F155" s="3">
        <v>-1</v>
      </c>
      <c r="G155" s="5">
        <v>64</v>
      </c>
      <c r="H155" s="5">
        <v>58</v>
      </c>
      <c r="I155" s="3">
        <v>51</v>
      </c>
      <c r="J155" s="3">
        <v>8</v>
      </c>
      <c r="K155" s="3">
        <v>31</v>
      </c>
      <c r="L155" s="3">
        <v>-65</v>
      </c>
      <c r="M155" s="3">
        <v>160</v>
      </c>
      <c r="N155" s="3">
        <v>-54</v>
      </c>
      <c r="O155" s="3">
        <v>-99</v>
      </c>
      <c r="P155" s="4"/>
      <c r="Q155" s="3">
        <v>-66</v>
      </c>
      <c r="R155" s="4"/>
      <c r="S155" s="4"/>
      <c r="T155" s="4"/>
      <c r="U155" s="4"/>
      <c r="V155" s="4"/>
      <c r="W155" s="4"/>
      <c r="X155" s="4"/>
      <c r="Y155" s="4"/>
      <c r="Z155" s="4"/>
      <c r="AA155" s="120">
        <f>SUM(D155:Z155)</f>
        <v>136</v>
      </c>
      <c r="AB155" s="120">
        <f>COUNT(D155:Z155)</f>
        <v>13</v>
      </c>
    </row>
    <row r="156" spans="1:28" s="120" customFormat="1" ht="16" customHeight="1" x14ac:dyDescent="0.2">
      <c r="A156" s="142" t="str">
        <f t="shared" ref="A156" si="178">B153&amp;"4"</f>
        <v>Johan Kriek4</v>
      </c>
      <c r="B156" s="189"/>
      <c r="C156" s="120" t="s">
        <v>5</v>
      </c>
      <c r="D156" s="5">
        <v>58</v>
      </c>
      <c r="E156" s="5">
        <v>161</v>
      </c>
      <c r="F156" s="8">
        <v>301</v>
      </c>
      <c r="G156" s="3">
        <v>-97</v>
      </c>
      <c r="H156" s="3">
        <v>-66</v>
      </c>
      <c r="I156" s="3">
        <v>53</v>
      </c>
      <c r="J156" s="3">
        <v>19</v>
      </c>
      <c r="K156" s="3">
        <v>24</v>
      </c>
      <c r="L156" s="3">
        <v>4</v>
      </c>
      <c r="M156" s="3">
        <v>-40</v>
      </c>
      <c r="N156" s="3">
        <v>70</v>
      </c>
      <c r="O156" s="3">
        <v>-99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120">
        <f>SUM(D156:Z156)</f>
        <v>388</v>
      </c>
      <c r="AB156" s="120">
        <f>COUNT(D156:Z156)</f>
        <v>12</v>
      </c>
    </row>
    <row r="157" spans="1:28" s="120" customFormat="1" ht="16" customHeight="1" x14ac:dyDescent="0.2">
      <c r="A157" s="142" t="str">
        <f t="shared" ref="A157" si="179">B153&amp;"5"</f>
        <v>Johan Kriek5</v>
      </c>
      <c r="B157" s="189"/>
      <c r="C157" s="120">
        <f>SUM(D157:Z157)</f>
        <v>1329</v>
      </c>
      <c r="D157" s="120">
        <f>SUM(D153:D156)</f>
        <v>46</v>
      </c>
      <c r="E157" s="120">
        <f t="shared" ref="E157:Z157" si="180">SUM(E153:E156)</f>
        <v>123</v>
      </c>
      <c r="F157" s="120">
        <f t="shared" si="180"/>
        <v>300</v>
      </c>
      <c r="G157" s="120">
        <f t="shared" si="180"/>
        <v>432</v>
      </c>
      <c r="H157" s="120">
        <f t="shared" si="180"/>
        <v>228</v>
      </c>
      <c r="I157" s="120">
        <f t="shared" si="180"/>
        <v>114</v>
      </c>
      <c r="J157" s="120">
        <f t="shared" si="180"/>
        <v>184</v>
      </c>
      <c r="K157" s="120">
        <f t="shared" si="180"/>
        <v>81</v>
      </c>
      <c r="L157" s="120">
        <f t="shared" si="180"/>
        <v>121</v>
      </c>
      <c r="M157" s="120">
        <f t="shared" si="180"/>
        <v>3</v>
      </c>
      <c r="N157" s="120">
        <f t="shared" si="180"/>
        <v>-37</v>
      </c>
      <c r="O157" s="120">
        <f t="shared" si="180"/>
        <v>-200</v>
      </c>
      <c r="P157" s="120">
        <f t="shared" si="180"/>
        <v>0</v>
      </c>
      <c r="Q157" s="120">
        <f t="shared" si="180"/>
        <v>-66</v>
      </c>
      <c r="R157" s="4">
        <f t="shared" si="180"/>
        <v>0</v>
      </c>
      <c r="S157" s="120">
        <f t="shared" si="180"/>
        <v>0</v>
      </c>
      <c r="T157" s="120">
        <f t="shared" si="180"/>
        <v>0</v>
      </c>
      <c r="U157" s="120">
        <f t="shared" si="180"/>
        <v>0</v>
      </c>
      <c r="V157" s="120">
        <f t="shared" si="180"/>
        <v>0</v>
      </c>
      <c r="W157" s="120">
        <f t="shared" si="180"/>
        <v>0</v>
      </c>
      <c r="X157" s="120">
        <f t="shared" si="180"/>
        <v>0</v>
      </c>
      <c r="Y157" s="120">
        <f t="shared" si="180"/>
        <v>0</v>
      </c>
      <c r="Z157" s="120">
        <f t="shared" si="180"/>
        <v>0</v>
      </c>
    </row>
    <row r="158" spans="1:28" s="120" customFormat="1" ht="16" customHeight="1" x14ac:dyDescent="0.2">
      <c r="A158" s="142" t="str">
        <f t="shared" ref="A158" si="181">B158&amp;"1"</f>
        <v>Sergi Bruguera1</v>
      </c>
      <c r="B158" s="189" t="s">
        <v>121</v>
      </c>
      <c r="C158" s="120" t="s">
        <v>2</v>
      </c>
      <c r="D158" s="4"/>
      <c r="E158" s="3">
        <v>-54</v>
      </c>
      <c r="F158" s="3">
        <v>-5</v>
      </c>
      <c r="G158" s="4"/>
      <c r="H158" s="3">
        <v>129</v>
      </c>
      <c r="I158" s="4"/>
      <c r="J158" s="4"/>
      <c r="K158" s="4"/>
      <c r="L158" s="3">
        <v>51</v>
      </c>
      <c r="M158" s="3">
        <v>-20</v>
      </c>
      <c r="O158" s="4"/>
      <c r="P158" s="3">
        <v>-39</v>
      </c>
      <c r="R158" s="4"/>
      <c r="S158" s="4"/>
      <c r="T158" s="4"/>
      <c r="U158" s="4"/>
      <c r="V158" s="4"/>
      <c r="W158" s="4"/>
      <c r="X158" s="4"/>
      <c r="Y158" s="4"/>
      <c r="Z158" s="4"/>
      <c r="AA158" s="120">
        <f>SUM(D158:Z158)</f>
        <v>62</v>
      </c>
      <c r="AB158" s="120">
        <f>COUNT(D158:Z158)</f>
        <v>6</v>
      </c>
    </row>
    <row r="159" spans="1:28" s="120" customFormat="1" ht="16" customHeight="1" x14ac:dyDescent="0.2">
      <c r="A159" s="142" t="str">
        <f t="shared" ref="A159" si="182">B158&amp;"2"</f>
        <v>Sergi Bruguera2</v>
      </c>
      <c r="B159" s="189"/>
      <c r="C159" s="120" t="s">
        <v>3</v>
      </c>
      <c r="D159" s="3">
        <v>32</v>
      </c>
      <c r="E159" s="3">
        <v>-75</v>
      </c>
      <c r="F159" s="3">
        <v>8</v>
      </c>
      <c r="G159" s="3">
        <v>-10</v>
      </c>
      <c r="H159" s="6">
        <v>414</v>
      </c>
      <c r="I159" s="6">
        <v>492</v>
      </c>
      <c r="J159" s="21">
        <v>257</v>
      </c>
      <c r="K159" s="3">
        <v>37</v>
      </c>
      <c r="L159" s="7">
        <v>221</v>
      </c>
      <c r="M159" s="3">
        <v>-99</v>
      </c>
      <c r="O159" s="3">
        <v>-99</v>
      </c>
      <c r="P159" s="3">
        <v>-98</v>
      </c>
      <c r="R159" s="4"/>
      <c r="S159" s="4"/>
      <c r="T159" s="4"/>
      <c r="U159" s="4"/>
      <c r="V159" s="4"/>
      <c r="W159" s="4"/>
      <c r="X159" s="4"/>
      <c r="Y159" s="4"/>
      <c r="Z159" s="4"/>
      <c r="AA159" s="120">
        <f>SUM(D159:Z159)</f>
        <v>1080</v>
      </c>
      <c r="AB159" s="120">
        <f>COUNT(D159:Z159)</f>
        <v>12</v>
      </c>
    </row>
    <row r="160" spans="1:28" s="120" customFormat="1" ht="16" customHeight="1" x14ac:dyDescent="0.2">
      <c r="A160" s="142" t="str">
        <f t="shared" ref="A160" si="183">B158&amp;"3"</f>
        <v>Sergi Bruguera3</v>
      </c>
      <c r="B160" s="189"/>
      <c r="C160" s="120" t="s">
        <v>4</v>
      </c>
      <c r="D160" s="3">
        <v>-23</v>
      </c>
      <c r="E160" s="3">
        <v>-98</v>
      </c>
      <c r="F160" s="4"/>
      <c r="G160" s="4"/>
      <c r="H160" s="4"/>
      <c r="I160" s="3">
        <v>96</v>
      </c>
      <c r="J160" s="4"/>
      <c r="K160" s="4"/>
      <c r="L160" s="4"/>
      <c r="M160" s="4"/>
      <c r="O160" s="4"/>
      <c r="P160" s="3">
        <v>-99</v>
      </c>
      <c r="R160" s="4"/>
      <c r="S160" s="4"/>
      <c r="T160" s="4"/>
      <c r="U160" s="4"/>
      <c r="V160" s="4"/>
      <c r="W160" s="4"/>
      <c r="X160" s="4"/>
      <c r="Y160" s="4"/>
      <c r="Z160" s="4"/>
      <c r="AA160" s="120">
        <f>SUM(D160:Z160)</f>
        <v>-124</v>
      </c>
      <c r="AB160" s="120">
        <f>COUNT(D160:Z160)</f>
        <v>4</v>
      </c>
    </row>
    <row r="161" spans="1:28" s="120" customFormat="1" ht="16" customHeight="1" x14ac:dyDescent="0.2">
      <c r="A161" s="142" t="str">
        <f t="shared" ref="A161" si="184">B158&amp;"4"</f>
        <v>Sergi Bruguera4</v>
      </c>
      <c r="B161" s="189"/>
      <c r="C161" s="120" t="s">
        <v>5</v>
      </c>
      <c r="D161" s="3">
        <v>-88</v>
      </c>
      <c r="E161" s="3">
        <v>-40</v>
      </c>
      <c r="F161" s="3">
        <v>-19</v>
      </c>
      <c r="G161" s="3">
        <v>-6</v>
      </c>
      <c r="H161" s="3">
        <v>-35</v>
      </c>
      <c r="I161" s="3">
        <v>15</v>
      </c>
      <c r="J161" s="3">
        <v>-66</v>
      </c>
      <c r="K161" s="3">
        <v>82</v>
      </c>
      <c r="L161" s="3">
        <v>52</v>
      </c>
      <c r="M161" s="3">
        <v>-91</v>
      </c>
      <c r="O161" s="4"/>
      <c r="P161" s="3">
        <v>-98</v>
      </c>
      <c r="R161" s="4"/>
      <c r="S161" s="4"/>
      <c r="T161" s="4"/>
      <c r="U161" s="4"/>
      <c r="V161" s="4"/>
      <c r="W161" s="4"/>
      <c r="X161" s="4"/>
      <c r="Y161" s="4"/>
      <c r="Z161" s="4"/>
      <c r="AA161" s="120">
        <f>SUM(D161:Z161)</f>
        <v>-294</v>
      </c>
      <c r="AB161" s="120">
        <f>COUNT(D161:Z161)</f>
        <v>11</v>
      </c>
    </row>
    <row r="162" spans="1:28" s="120" customFormat="1" ht="16" customHeight="1" x14ac:dyDescent="0.2">
      <c r="A162" s="142" t="str">
        <f t="shared" ref="A162" si="185">B158&amp;"5"</f>
        <v>Sergi Bruguera5</v>
      </c>
      <c r="B162" s="189"/>
      <c r="C162" s="120">
        <f>SUM(D162:Z162)</f>
        <v>625</v>
      </c>
      <c r="D162" s="120">
        <f>SUM(D158:D161)</f>
        <v>-79</v>
      </c>
      <c r="E162" s="120">
        <f t="shared" ref="E162:Z162" si="186">SUM(E158:E161)</f>
        <v>-267</v>
      </c>
      <c r="F162" s="120">
        <f>SUM(F158:F161)</f>
        <v>-16</v>
      </c>
      <c r="G162" s="120">
        <f>SUM(G158:G161)</f>
        <v>-16</v>
      </c>
      <c r="H162" s="120">
        <f>SUM(H158:H161)</f>
        <v>508</v>
      </c>
      <c r="I162" s="120">
        <f t="shared" si="186"/>
        <v>603</v>
      </c>
      <c r="J162" s="120">
        <f t="shared" si="186"/>
        <v>191</v>
      </c>
      <c r="K162" s="120">
        <f t="shared" si="186"/>
        <v>119</v>
      </c>
      <c r="L162" s="120">
        <f t="shared" si="186"/>
        <v>324</v>
      </c>
      <c r="M162" s="120">
        <f t="shared" si="186"/>
        <v>-210</v>
      </c>
      <c r="N162" s="120">
        <f t="shared" si="186"/>
        <v>0</v>
      </c>
      <c r="O162" s="120">
        <f t="shared" si="186"/>
        <v>-99</v>
      </c>
      <c r="P162" s="120">
        <f>SUM(O158:O161)</f>
        <v>-99</v>
      </c>
      <c r="Q162" s="120">
        <f>SUM(P158:P161)</f>
        <v>-334</v>
      </c>
      <c r="R162" s="4">
        <f t="shared" si="186"/>
        <v>0</v>
      </c>
      <c r="S162" s="120">
        <f t="shared" si="186"/>
        <v>0</v>
      </c>
      <c r="T162" s="120">
        <f t="shared" si="186"/>
        <v>0</v>
      </c>
      <c r="U162" s="120">
        <f t="shared" si="186"/>
        <v>0</v>
      </c>
      <c r="V162" s="120">
        <f t="shared" si="186"/>
        <v>0</v>
      </c>
      <c r="W162" s="120">
        <f t="shared" si="186"/>
        <v>0</v>
      </c>
      <c r="X162" s="120">
        <f t="shared" si="186"/>
        <v>0</v>
      </c>
      <c r="Y162" s="120">
        <f t="shared" si="186"/>
        <v>0</v>
      </c>
      <c r="Z162" s="120">
        <f t="shared" si="186"/>
        <v>0</v>
      </c>
    </row>
    <row r="163" spans="1:28" s="128" customFormat="1" ht="16" customHeight="1" x14ac:dyDescent="0.2">
      <c r="A163" s="142" t="str">
        <f t="shared" ref="A163" si="187">B163&amp;"1"</f>
        <v>Marat Safin1</v>
      </c>
      <c r="B163" s="189" t="s">
        <v>123</v>
      </c>
      <c r="C163" s="128" t="s">
        <v>2</v>
      </c>
      <c r="D163" s="4"/>
      <c r="E163" s="3">
        <v>90</v>
      </c>
      <c r="F163" s="3">
        <v>-99</v>
      </c>
      <c r="G163" s="3">
        <v>92</v>
      </c>
      <c r="H163" s="7">
        <v>323</v>
      </c>
      <c r="I163" s="3">
        <v>47</v>
      </c>
      <c r="J163" s="7">
        <v>367</v>
      </c>
      <c r="K163" s="6">
        <v>451</v>
      </c>
      <c r="L163" s="4"/>
      <c r="M163" s="3">
        <v>38</v>
      </c>
      <c r="N163" s="3">
        <v>24</v>
      </c>
      <c r="O163" s="3">
        <v>62</v>
      </c>
      <c r="P163" s="4"/>
      <c r="R163" s="4"/>
      <c r="S163" s="4"/>
      <c r="T163" s="4"/>
      <c r="U163" s="4"/>
      <c r="V163" s="4"/>
      <c r="W163" s="4"/>
      <c r="X163" s="4"/>
      <c r="Y163" s="4"/>
      <c r="Z163" s="4"/>
      <c r="AA163" s="128">
        <f>SUM(D163:Z163)</f>
        <v>1395</v>
      </c>
      <c r="AB163" s="128">
        <f>COUNT(D163:Z163)</f>
        <v>10</v>
      </c>
    </row>
    <row r="164" spans="1:28" s="128" customFormat="1" ht="16" customHeight="1" x14ac:dyDescent="0.2">
      <c r="A164" s="142" t="str">
        <f t="shared" ref="A164" si="188">B163&amp;"2"</f>
        <v>Marat Safin2</v>
      </c>
      <c r="B164" s="189"/>
      <c r="C164" s="128" t="s">
        <v>3</v>
      </c>
      <c r="D164" s="3">
        <v>178</v>
      </c>
      <c r="E164" s="3">
        <v>69</v>
      </c>
      <c r="F164" s="5">
        <v>254</v>
      </c>
      <c r="G164" s="3">
        <v>29</v>
      </c>
      <c r="H164" s="8">
        <v>206</v>
      </c>
      <c r="I164" s="4"/>
      <c r="J164" s="3">
        <v>58</v>
      </c>
      <c r="K164" s="3">
        <v>68</v>
      </c>
      <c r="L164" s="3">
        <v>-81</v>
      </c>
      <c r="M164" s="3">
        <v>21</v>
      </c>
      <c r="N164" s="3">
        <v>-3</v>
      </c>
      <c r="O164" s="3">
        <v>-98</v>
      </c>
      <c r="P164" s="4"/>
      <c r="R164" s="4"/>
      <c r="S164" s="4"/>
      <c r="T164" s="4"/>
      <c r="U164" s="4"/>
      <c r="V164" s="4"/>
      <c r="W164" s="4"/>
      <c r="X164" s="4"/>
      <c r="Y164" s="4"/>
      <c r="Z164" s="4"/>
      <c r="AA164" s="128">
        <f>SUM(D164:Z164)</f>
        <v>701</v>
      </c>
      <c r="AB164" s="128">
        <f>COUNT(D164:Z164)</f>
        <v>11</v>
      </c>
    </row>
    <row r="165" spans="1:28" s="128" customFormat="1" ht="16" customHeight="1" x14ac:dyDescent="0.2">
      <c r="A165" s="142" t="str">
        <f t="shared" ref="A165" si="189">B163&amp;"3"</f>
        <v>Marat Safin3</v>
      </c>
      <c r="B165" s="189"/>
      <c r="C165" s="128" t="s">
        <v>4</v>
      </c>
      <c r="D165" s="3">
        <v>-97</v>
      </c>
      <c r="E165" s="4"/>
      <c r="F165" s="3">
        <v>-60</v>
      </c>
      <c r="G165" s="5">
        <v>54</v>
      </c>
      <c r="H165" s="3">
        <v>-78</v>
      </c>
      <c r="I165" s="4"/>
      <c r="J165" s="3">
        <v>-70</v>
      </c>
      <c r="K165" s="3">
        <v>30</v>
      </c>
      <c r="L165" s="3">
        <v>50</v>
      </c>
      <c r="M165" s="3">
        <v>1</v>
      </c>
      <c r="N165" s="8">
        <v>357</v>
      </c>
      <c r="O165" s="3">
        <v>-99</v>
      </c>
      <c r="P165" s="4"/>
      <c r="R165" s="4"/>
      <c r="S165" s="4"/>
      <c r="T165" s="4"/>
      <c r="U165" s="4"/>
      <c r="V165" s="4"/>
      <c r="W165" s="4"/>
      <c r="X165" s="4"/>
      <c r="Y165" s="4"/>
      <c r="Z165" s="4"/>
      <c r="AA165" s="128">
        <f>SUM(D165:Z165)</f>
        <v>88</v>
      </c>
      <c r="AB165" s="128">
        <f>COUNT(D165:Z165)</f>
        <v>10</v>
      </c>
    </row>
    <row r="166" spans="1:28" s="128" customFormat="1" ht="16" customHeight="1" x14ac:dyDescent="0.2">
      <c r="A166" s="142" t="str">
        <f t="shared" ref="A166" si="190">B163&amp;"4"</f>
        <v>Marat Safin4</v>
      </c>
      <c r="B166" s="189"/>
      <c r="C166" s="128" t="s">
        <v>5</v>
      </c>
      <c r="D166" s="3">
        <v>153</v>
      </c>
      <c r="E166" s="3">
        <v>-58</v>
      </c>
      <c r="F166" s="6">
        <v>462</v>
      </c>
      <c r="G166" s="8">
        <v>221</v>
      </c>
      <c r="H166" s="3">
        <v>-10</v>
      </c>
      <c r="I166" s="4"/>
      <c r="J166" s="3">
        <v>-40</v>
      </c>
      <c r="K166" s="4"/>
      <c r="L166" s="3">
        <v>171</v>
      </c>
      <c r="M166" s="3">
        <v>-18</v>
      </c>
      <c r="N166" s="3">
        <v>-14</v>
      </c>
      <c r="O166" s="3">
        <v>-38</v>
      </c>
      <c r="P166" s="4"/>
      <c r="R166" s="4"/>
      <c r="S166" s="4"/>
      <c r="T166" s="4"/>
      <c r="U166" s="4"/>
      <c r="V166" s="4"/>
      <c r="W166" s="4"/>
      <c r="X166" s="4"/>
      <c r="Y166" s="4"/>
      <c r="Z166" s="4"/>
      <c r="AA166" s="128">
        <f>SUM(D166:Z166)</f>
        <v>829</v>
      </c>
      <c r="AB166" s="128">
        <f>COUNT(D166:Z166)</f>
        <v>10</v>
      </c>
    </row>
    <row r="167" spans="1:28" s="128" customFormat="1" ht="16" customHeight="1" x14ac:dyDescent="0.2">
      <c r="A167" s="142" t="str">
        <f t="shared" ref="A167" si="191">B163&amp;"5"</f>
        <v>Marat Safin5</v>
      </c>
      <c r="B167" s="189"/>
      <c r="C167" s="128">
        <f>SUM(D167:Z167)</f>
        <v>2840</v>
      </c>
      <c r="D167" s="128">
        <f>SUM(D163:D166)</f>
        <v>234</v>
      </c>
      <c r="E167" s="128">
        <f t="shared" ref="E167" si="192">SUM(E163:E166)</f>
        <v>101</v>
      </c>
      <c r="F167" s="128">
        <f>SUM(F163:F166)</f>
        <v>557</v>
      </c>
      <c r="G167" s="128">
        <f>SUM(G163:G166)</f>
        <v>396</v>
      </c>
      <c r="H167" s="128">
        <f>SUM(H163:H166)</f>
        <v>441</v>
      </c>
      <c r="I167" s="128">
        <f t="shared" ref="I167:O167" si="193">SUM(I163:I166)</f>
        <v>47</v>
      </c>
      <c r="J167" s="128">
        <f t="shared" si="193"/>
        <v>315</v>
      </c>
      <c r="K167" s="128">
        <f t="shared" si="193"/>
        <v>549</v>
      </c>
      <c r="L167" s="128">
        <f t="shared" si="193"/>
        <v>140</v>
      </c>
      <c r="M167" s="128">
        <f t="shared" si="193"/>
        <v>42</v>
      </c>
      <c r="N167" s="128">
        <f t="shared" si="193"/>
        <v>364</v>
      </c>
      <c r="O167" s="128">
        <f t="shared" si="193"/>
        <v>-173</v>
      </c>
      <c r="P167" s="128">
        <f>SUM(O163:O166)</f>
        <v>-173</v>
      </c>
      <c r="Q167" s="128">
        <f>SUM(P163:P166)</f>
        <v>0</v>
      </c>
      <c r="R167" s="4">
        <f t="shared" ref="R167:Z167" si="194">SUM(R163:R166)</f>
        <v>0</v>
      </c>
      <c r="S167" s="128">
        <f t="shared" si="194"/>
        <v>0</v>
      </c>
      <c r="T167" s="128">
        <f t="shared" si="194"/>
        <v>0</v>
      </c>
      <c r="U167" s="128">
        <f t="shared" si="194"/>
        <v>0</v>
      </c>
      <c r="V167" s="128">
        <f t="shared" si="194"/>
        <v>0</v>
      </c>
      <c r="W167" s="128">
        <f t="shared" si="194"/>
        <v>0</v>
      </c>
      <c r="X167" s="128">
        <f t="shared" si="194"/>
        <v>0</v>
      </c>
      <c r="Y167" s="128">
        <f t="shared" si="194"/>
        <v>0</v>
      </c>
      <c r="Z167" s="128">
        <f t="shared" si="194"/>
        <v>0</v>
      </c>
    </row>
    <row r="168" spans="1:28" s="128" customFormat="1" ht="16" customHeight="1" x14ac:dyDescent="0.2">
      <c r="A168" s="142" t="str">
        <f t="shared" ref="A168" si="195">B168&amp;"1"</f>
        <v>Yevgeny Kafelnikov1</v>
      </c>
      <c r="B168" s="189" t="s">
        <v>122</v>
      </c>
      <c r="C168" s="128" t="s">
        <v>2</v>
      </c>
      <c r="D168" s="4"/>
      <c r="E168" s="3">
        <v>0</v>
      </c>
      <c r="F168" s="5">
        <v>156</v>
      </c>
      <c r="G168" s="5">
        <v>136</v>
      </c>
      <c r="H168" s="4"/>
      <c r="I168" s="4"/>
      <c r="J168" s="6">
        <v>497</v>
      </c>
      <c r="K168" s="7">
        <v>317</v>
      </c>
      <c r="L168" s="5">
        <v>154</v>
      </c>
      <c r="M168" s="3">
        <v>-98</v>
      </c>
      <c r="N168" s="3">
        <v>-40</v>
      </c>
      <c r="O168" s="4"/>
      <c r="P168" s="4"/>
      <c r="R168" s="4"/>
      <c r="S168" s="4"/>
      <c r="T168" s="4"/>
      <c r="U168" s="4"/>
      <c r="V168" s="4"/>
      <c r="W168" s="4"/>
      <c r="X168" s="4"/>
      <c r="Y168" s="4"/>
      <c r="Z168" s="4"/>
      <c r="AA168" s="128">
        <f>SUM(D168:Z168)</f>
        <v>1122</v>
      </c>
      <c r="AB168" s="128">
        <f>COUNT(D168:Z168)</f>
        <v>8</v>
      </c>
    </row>
    <row r="169" spans="1:28" s="128" customFormat="1" ht="16" customHeight="1" x14ac:dyDescent="0.2">
      <c r="A169" s="142" t="str">
        <f t="shared" ref="A169" si="196">B168&amp;"2"</f>
        <v>Yevgeny Kafelnikov2</v>
      </c>
      <c r="B169" s="189"/>
      <c r="C169" s="128" t="s">
        <v>3</v>
      </c>
      <c r="D169" s="3">
        <v>-98</v>
      </c>
      <c r="E169" s="3">
        <v>-10</v>
      </c>
      <c r="F169" s="8">
        <v>237</v>
      </c>
      <c r="G169" s="6">
        <v>426</v>
      </c>
      <c r="H169" s="5">
        <v>141</v>
      </c>
      <c r="I169" s="3">
        <v>-18</v>
      </c>
      <c r="J169" s="3">
        <v>19</v>
      </c>
      <c r="K169" s="5">
        <v>209</v>
      </c>
      <c r="L169" s="5">
        <v>58</v>
      </c>
      <c r="M169" s="3">
        <v>-51</v>
      </c>
      <c r="N169" s="3">
        <v>-73</v>
      </c>
      <c r="O169" s="4"/>
      <c r="P169" s="4"/>
      <c r="R169" s="4"/>
      <c r="S169" s="4"/>
      <c r="T169" s="4"/>
      <c r="U169" s="4"/>
      <c r="V169" s="4"/>
      <c r="W169" s="4"/>
      <c r="X169" s="4"/>
      <c r="Y169" s="4"/>
      <c r="Z169" s="4"/>
      <c r="AA169" s="128">
        <f>SUM(D169:Z169)</f>
        <v>840</v>
      </c>
      <c r="AB169" s="128">
        <f>COUNT(D169:Z169)</f>
        <v>11</v>
      </c>
    </row>
    <row r="170" spans="1:28" s="128" customFormat="1" ht="16" customHeight="1" x14ac:dyDescent="0.2">
      <c r="A170" s="142" t="str">
        <f t="shared" ref="A170" si="197">B168&amp;"3"</f>
        <v>Yevgeny Kafelnikov3</v>
      </c>
      <c r="B170" s="189"/>
      <c r="C170" s="128" t="s">
        <v>4</v>
      </c>
      <c r="D170" s="4"/>
      <c r="E170" s="3">
        <v>14</v>
      </c>
      <c r="F170" s="5">
        <v>198</v>
      </c>
      <c r="G170" s="3">
        <v>-62</v>
      </c>
      <c r="H170" s="3">
        <v>30</v>
      </c>
      <c r="I170" s="3">
        <v>-28</v>
      </c>
      <c r="J170" s="3">
        <v>9</v>
      </c>
      <c r="K170" s="3">
        <v>8</v>
      </c>
      <c r="L170" s="3">
        <v>-47</v>
      </c>
      <c r="M170" s="3">
        <v>21</v>
      </c>
      <c r="N170" s="3">
        <v>-67</v>
      </c>
      <c r="O170" s="4"/>
      <c r="P170" s="4"/>
      <c r="R170" s="4"/>
      <c r="S170" s="4"/>
      <c r="T170" s="4"/>
      <c r="U170" s="4"/>
      <c r="V170" s="4"/>
      <c r="W170" s="4"/>
      <c r="X170" s="4"/>
      <c r="Y170" s="4"/>
      <c r="Z170" s="4"/>
      <c r="AA170" s="128">
        <f>SUM(D170:Z170)</f>
        <v>76</v>
      </c>
      <c r="AB170" s="128">
        <f>COUNT(D170:Z170)</f>
        <v>10</v>
      </c>
    </row>
    <row r="171" spans="1:28" s="128" customFormat="1" ht="16" customHeight="1" x14ac:dyDescent="0.2">
      <c r="A171" s="142" t="str">
        <f t="shared" ref="A171" si="198">B168&amp;"4"</f>
        <v>Yevgeny Kafelnikov4</v>
      </c>
      <c r="B171" s="189"/>
      <c r="C171" s="128" t="s">
        <v>5</v>
      </c>
      <c r="D171" s="4"/>
      <c r="E171" s="3">
        <v>181</v>
      </c>
      <c r="F171" s="3">
        <v>-40</v>
      </c>
      <c r="G171" s="4"/>
      <c r="H171" s="3">
        <v>-30</v>
      </c>
      <c r="I171" s="3">
        <v>131</v>
      </c>
      <c r="J171" s="8">
        <v>276</v>
      </c>
      <c r="K171" s="3">
        <v>-18</v>
      </c>
      <c r="L171" s="8">
        <v>237</v>
      </c>
      <c r="M171" s="3">
        <v>-1</v>
      </c>
      <c r="N171" s="3">
        <v>28</v>
      </c>
      <c r="O171" s="4"/>
      <c r="P171" s="4"/>
      <c r="R171" s="4"/>
      <c r="S171" s="4"/>
      <c r="T171" s="4"/>
      <c r="U171" s="4"/>
      <c r="V171" s="4"/>
      <c r="W171" s="4"/>
      <c r="X171" s="4"/>
      <c r="Y171" s="4"/>
      <c r="Z171" s="4"/>
      <c r="AA171" s="128">
        <f>SUM(D171:Z171)</f>
        <v>764</v>
      </c>
      <c r="AB171" s="128">
        <f>COUNT(D171:Z171)</f>
        <v>9</v>
      </c>
    </row>
    <row r="172" spans="1:28" s="128" customFormat="1" ht="16" customHeight="1" x14ac:dyDescent="0.2">
      <c r="A172" s="142" t="str">
        <f t="shared" ref="A172" si="199">B168&amp;"5"</f>
        <v>Yevgeny Kafelnikov5</v>
      </c>
      <c r="B172" s="189"/>
      <c r="C172" s="128">
        <f>SUM(D172:Z172)</f>
        <v>2802</v>
      </c>
      <c r="D172" s="128">
        <f>SUM(D168:D171)</f>
        <v>-98</v>
      </c>
      <c r="E172" s="128">
        <f t="shared" ref="E172" si="200">SUM(E168:E171)</f>
        <v>185</v>
      </c>
      <c r="F172" s="128">
        <f>SUM(F168:F171)</f>
        <v>551</v>
      </c>
      <c r="G172" s="128">
        <f>SUM(G168:G171)</f>
        <v>500</v>
      </c>
      <c r="H172" s="128">
        <f>SUM(H168:H171)</f>
        <v>141</v>
      </c>
      <c r="I172" s="128">
        <f t="shared" ref="I172:O172" si="201">SUM(I168:I171)</f>
        <v>85</v>
      </c>
      <c r="J172" s="128">
        <f t="shared" si="201"/>
        <v>801</v>
      </c>
      <c r="K172" s="128">
        <f t="shared" si="201"/>
        <v>516</v>
      </c>
      <c r="L172" s="128">
        <f t="shared" si="201"/>
        <v>402</v>
      </c>
      <c r="M172" s="128">
        <f t="shared" si="201"/>
        <v>-129</v>
      </c>
      <c r="N172" s="128">
        <f t="shared" si="201"/>
        <v>-152</v>
      </c>
      <c r="O172" s="128">
        <f t="shared" si="201"/>
        <v>0</v>
      </c>
      <c r="P172" s="128">
        <f>SUM(O168:O171)</f>
        <v>0</v>
      </c>
      <c r="Q172" s="128">
        <f>SUM(P168:P171)</f>
        <v>0</v>
      </c>
      <c r="R172" s="4">
        <f t="shared" ref="R172:Z172" si="202">SUM(R168:R171)</f>
        <v>0</v>
      </c>
      <c r="S172" s="128">
        <f t="shared" si="202"/>
        <v>0</v>
      </c>
      <c r="T172" s="128">
        <f t="shared" si="202"/>
        <v>0</v>
      </c>
      <c r="U172" s="128">
        <f t="shared" si="202"/>
        <v>0</v>
      </c>
      <c r="V172" s="128">
        <f t="shared" si="202"/>
        <v>0</v>
      </c>
      <c r="W172" s="128">
        <f t="shared" si="202"/>
        <v>0</v>
      </c>
      <c r="X172" s="128">
        <f t="shared" si="202"/>
        <v>0</v>
      </c>
      <c r="Y172" s="128">
        <f t="shared" si="202"/>
        <v>0</v>
      </c>
      <c r="Z172" s="128">
        <f t="shared" si="202"/>
        <v>0</v>
      </c>
    </row>
    <row r="173" spans="1:28" s="128" customFormat="1" ht="16" customHeight="1" x14ac:dyDescent="0.2">
      <c r="A173" s="142" t="str">
        <f t="shared" ref="A173" si="203">B173&amp;"1"</f>
        <v>Pat Rafter1</v>
      </c>
      <c r="B173" s="189" t="s">
        <v>220</v>
      </c>
      <c r="C173" s="128" t="s">
        <v>2</v>
      </c>
      <c r="D173" s="3">
        <v>-80</v>
      </c>
      <c r="E173" s="3">
        <v>-50</v>
      </c>
      <c r="F173" s="3">
        <v>-81</v>
      </c>
      <c r="G173" s="3">
        <v>28</v>
      </c>
      <c r="H173" s="3">
        <v>80</v>
      </c>
      <c r="I173" s="3">
        <v>-10</v>
      </c>
      <c r="J173" s="3">
        <v>55</v>
      </c>
      <c r="K173" s="3">
        <v>23</v>
      </c>
      <c r="L173" s="4"/>
      <c r="M173" s="8">
        <v>200</v>
      </c>
      <c r="N173" s="4"/>
      <c r="O173" s="4"/>
      <c r="P173" s="4"/>
      <c r="R173" s="4"/>
      <c r="S173" s="4"/>
      <c r="T173" s="4"/>
      <c r="U173" s="4"/>
      <c r="V173" s="4"/>
      <c r="W173" s="4"/>
      <c r="X173" s="4"/>
      <c r="Y173" s="4"/>
      <c r="Z173" s="4"/>
      <c r="AA173" s="128">
        <f>SUM(D173:Z173)</f>
        <v>165</v>
      </c>
      <c r="AB173" s="128">
        <f>COUNT(D173:Z173)</f>
        <v>9</v>
      </c>
    </row>
    <row r="174" spans="1:28" s="128" customFormat="1" ht="16" customHeight="1" x14ac:dyDescent="0.2">
      <c r="A174" s="142" t="str">
        <f t="shared" ref="A174" si="204">B173&amp;"2"</f>
        <v>Pat Rafter2</v>
      </c>
      <c r="B174" s="189"/>
      <c r="C174" s="128" t="s">
        <v>3</v>
      </c>
      <c r="D174" s="4"/>
      <c r="E174" s="4"/>
      <c r="F174" s="3">
        <v>93</v>
      </c>
      <c r="G174" s="3">
        <v>-7</v>
      </c>
      <c r="H174" s="3">
        <v>-20</v>
      </c>
      <c r="I174" s="8">
        <v>122</v>
      </c>
      <c r="J174" s="3">
        <v>-61</v>
      </c>
      <c r="K174" s="3">
        <v>-52</v>
      </c>
      <c r="L174" s="3">
        <v>22</v>
      </c>
      <c r="M174" s="3">
        <v>-59</v>
      </c>
      <c r="N174" s="4"/>
      <c r="O174" s="4"/>
      <c r="P174" s="4"/>
      <c r="R174" s="4"/>
      <c r="S174" s="4"/>
      <c r="T174" s="4"/>
      <c r="U174" s="4"/>
      <c r="V174" s="4"/>
      <c r="W174" s="4"/>
      <c r="X174" s="4"/>
      <c r="Y174" s="4"/>
      <c r="Z174" s="4"/>
      <c r="AA174" s="128">
        <f>SUM(D174:Z174)</f>
        <v>38</v>
      </c>
      <c r="AB174" s="128">
        <f>COUNT(D174:Z174)</f>
        <v>8</v>
      </c>
    </row>
    <row r="175" spans="1:28" s="128" customFormat="1" ht="16" customHeight="1" x14ac:dyDescent="0.2">
      <c r="A175" s="142" t="str">
        <f t="shared" ref="A175" si="205">B173&amp;"3"</f>
        <v>Pat Rafter3</v>
      </c>
      <c r="B175" s="189"/>
      <c r="C175" s="128" t="s">
        <v>4</v>
      </c>
      <c r="D175" s="4"/>
      <c r="E175" s="3">
        <v>-6</v>
      </c>
      <c r="F175" s="3">
        <v>30</v>
      </c>
      <c r="G175" s="3">
        <v>-31</v>
      </c>
      <c r="H175" s="3">
        <v>153</v>
      </c>
      <c r="I175" s="3">
        <v>-58</v>
      </c>
      <c r="J175" s="3">
        <v>64</v>
      </c>
      <c r="K175" s="8">
        <v>276</v>
      </c>
      <c r="L175" s="7">
        <v>196</v>
      </c>
      <c r="M175" s="7">
        <v>219</v>
      </c>
      <c r="N175" s="4"/>
      <c r="O175" s="4"/>
      <c r="P175" s="4"/>
      <c r="R175" s="4"/>
      <c r="S175" s="4"/>
      <c r="T175" s="4"/>
      <c r="U175" s="4"/>
      <c r="V175" s="4"/>
      <c r="W175" s="4"/>
      <c r="X175" s="4"/>
      <c r="Y175" s="4"/>
      <c r="Z175" s="4"/>
      <c r="AA175" s="128">
        <f>SUM(D175:Z175)</f>
        <v>843</v>
      </c>
      <c r="AB175" s="128">
        <f>COUNT(D175:Z175)</f>
        <v>9</v>
      </c>
    </row>
    <row r="176" spans="1:28" s="128" customFormat="1" ht="16" customHeight="1" x14ac:dyDescent="0.2">
      <c r="A176" s="142" t="str">
        <f t="shared" ref="A176" si="206">B173&amp;"4"</f>
        <v>Pat Rafter4</v>
      </c>
      <c r="B176" s="189"/>
      <c r="C176" s="128" t="s">
        <v>5</v>
      </c>
      <c r="D176" s="4"/>
      <c r="E176" s="3">
        <v>-99</v>
      </c>
      <c r="F176" s="3">
        <v>44</v>
      </c>
      <c r="G176" s="3">
        <v>34</v>
      </c>
      <c r="H176" s="3">
        <v>-36</v>
      </c>
      <c r="I176" s="6">
        <v>451</v>
      </c>
      <c r="J176" s="6">
        <v>459</v>
      </c>
      <c r="K176" s="3">
        <v>-26</v>
      </c>
      <c r="L176" s="3">
        <v>-99</v>
      </c>
      <c r="M176" s="3">
        <v>86</v>
      </c>
      <c r="N176" s="4"/>
      <c r="O176" s="4"/>
      <c r="P176" s="4"/>
      <c r="R176" s="4"/>
      <c r="S176" s="4"/>
      <c r="T176" s="4"/>
      <c r="U176" s="4"/>
      <c r="V176" s="4"/>
      <c r="W176" s="4"/>
      <c r="X176" s="4"/>
      <c r="Y176" s="4"/>
      <c r="Z176" s="4"/>
      <c r="AA176" s="128">
        <f>SUM(D176:Z176)</f>
        <v>814</v>
      </c>
      <c r="AB176" s="128">
        <f>COUNT(D176:Z176)</f>
        <v>9</v>
      </c>
    </row>
    <row r="177" spans="1:28" s="128" customFormat="1" ht="16" customHeight="1" x14ac:dyDescent="0.2">
      <c r="A177" s="142" t="str">
        <f t="shared" ref="A177" si="207">B173&amp;"5"</f>
        <v>Pat Rafter5</v>
      </c>
      <c r="B177" s="189"/>
      <c r="C177" s="128">
        <f>SUM(D177:Z177)</f>
        <v>1860</v>
      </c>
      <c r="D177" s="128">
        <f>SUM(D173:D176)</f>
        <v>-80</v>
      </c>
      <c r="E177" s="128">
        <f t="shared" ref="E177" si="208">SUM(E173:E176)</f>
        <v>-155</v>
      </c>
      <c r="F177" s="128">
        <f>SUM(F173:F176)</f>
        <v>86</v>
      </c>
      <c r="G177" s="128">
        <f>SUM(G173:G176)</f>
        <v>24</v>
      </c>
      <c r="H177" s="128">
        <f>SUM(H173:H176)</f>
        <v>177</v>
      </c>
      <c r="I177" s="128">
        <f t="shared" ref="I177:O177" si="209">SUM(I173:I176)</f>
        <v>505</v>
      </c>
      <c r="J177" s="128">
        <f t="shared" si="209"/>
        <v>517</v>
      </c>
      <c r="K177" s="128">
        <f t="shared" si="209"/>
        <v>221</v>
      </c>
      <c r="L177" s="128">
        <f t="shared" si="209"/>
        <v>119</v>
      </c>
      <c r="M177" s="128">
        <f t="shared" si="209"/>
        <v>446</v>
      </c>
      <c r="N177" s="128">
        <f t="shared" si="209"/>
        <v>0</v>
      </c>
      <c r="O177" s="128">
        <f t="shared" si="209"/>
        <v>0</v>
      </c>
      <c r="P177" s="128">
        <f>SUM(O173:O176)</f>
        <v>0</v>
      </c>
      <c r="Q177" s="128">
        <f>SUM(P173:P176)</f>
        <v>0</v>
      </c>
      <c r="R177" s="4">
        <f t="shared" ref="R177:Z177" si="210">SUM(R173:R176)</f>
        <v>0</v>
      </c>
      <c r="S177" s="128">
        <f t="shared" si="210"/>
        <v>0</v>
      </c>
      <c r="T177" s="128">
        <f t="shared" si="210"/>
        <v>0</v>
      </c>
      <c r="U177" s="128">
        <f t="shared" si="210"/>
        <v>0</v>
      </c>
      <c r="V177" s="128">
        <f t="shared" si="210"/>
        <v>0</v>
      </c>
      <c r="W177" s="128">
        <f t="shared" si="210"/>
        <v>0</v>
      </c>
      <c r="X177" s="128">
        <f t="shared" si="210"/>
        <v>0</v>
      </c>
      <c r="Y177" s="128">
        <f t="shared" si="210"/>
        <v>0</v>
      </c>
      <c r="Z177" s="128">
        <f t="shared" si="210"/>
        <v>0</v>
      </c>
    </row>
    <row r="178" spans="1:28" s="132" customFormat="1" ht="16" customHeight="1" x14ac:dyDescent="0.2">
      <c r="A178" s="142" t="str">
        <f t="shared" ref="A178" si="211">B178&amp;"1"</f>
        <v>Daniil Medvedev1</v>
      </c>
      <c r="B178" s="189" t="s">
        <v>228</v>
      </c>
      <c r="C178" s="132" t="s">
        <v>2</v>
      </c>
      <c r="D178" s="3">
        <v>-99</v>
      </c>
      <c r="E178" s="3">
        <v>-57</v>
      </c>
      <c r="F178" s="3">
        <v>96</v>
      </c>
      <c r="G178" s="3">
        <v>40</v>
      </c>
      <c r="H178" s="7">
        <v>332</v>
      </c>
      <c r="I178" s="7">
        <v>294</v>
      </c>
      <c r="J178" s="3">
        <v>16</v>
      </c>
      <c r="K178" s="7">
        <v>363</v>
      </c>
      <c r="L178" s="4"/>
      <c r="M178" s="4"/>
      <c r="N178" s="4"/>
      <c r="O178" s="4"/>
      <c r="P178" s="4"/>
      <c r="R178" s="4"/>
      <c r="S178" s="4"/>
      <c r="T178" s="4"/>
      <c r="U178" s="4"/>
      <c r="V178" s="4"/>
      <c r="W178" s="4"/>
      <c r="X178" s="4"/>
      <c r="Y178" s="4"/>
      <c r="Z178" s="4"/>
      <c r="AA178" s="132">
        <f>SUM(D178:Z178)</f>
        <v>985</v>
      </c>
      <c r="AB178" s="132">
        <f>COUNT(D178:Z178)</f>
        <v>8</v>
      </c>
    </row>
    <row r="179" spans="1:28" s="132" customFormat="1" ht="16" customHeight="1" x14ac:dyDescent="0.2">
      <c r="A179" s="142" t="str">
        <f t="shared" ref="A179" si="212">B178&amp;"2"</f>
        <v>Daniil Medvedev2</v>
      </c>
      <c r="B179" s="189"/>
      <c r="C179" s="132" t="s">
        <v>3</v>
      </c>
      <c r="D179" s="3">
        <v>-99</v>
      </c>
      <c r="E179" s="3">
        <v>-15</v>
      </c>
      <c r="F179" s="3">
        <v>-43</v>
      </c>
      <c r="G179" s="3">
        <v>-63</v>
      </c>
      <c r="H179" s="5">
        <v>262</v>
      </c>
      <c r="I179" s="3">
        <v>97</v>
      </c>
      <c r="J179" s="3">
        <v>-99</v>
      </c>
      <c r="K179" s="3">
        <v>133</v>
      </c>
      <c r="L179" s="4"/>
      <c r="M179" s="4"/>
      <c r="N179" s="4"/>
      <c r="O179" s="4"/>
      <c r="P179" s="4"/>
      <c r="R179" s="4"/>
      <c r="S179" s="4"/>
      <c r="T179" s="4"/>
      <c r="U179" s="4"/>
      <c r="V179" s="4"/>
      <c r="W179" s="4"/>
      <c r="X179" s="4"/>
      <c r="Y179" s="4"/>
      <c r="Z179" s="4"/>
      <c r="AA179" s="132">
        <f>SUM(D179:Z179)</f>
        <v>173</v>
      </c>
      <c r="AB179" s="132">
        <f>COUNT(D179:Z179)</f>
        <v>8</v>
      </c>
    </row>
    <row r="180" spans="1:28" s="132" customFormat="1" ht="16" customHeight="1" x14ac:dyDescent="0.2">
      <c r="A180" s="142" t="str">
        <f t="shared" ref="A180" si="213">B178&amp;"3"</f>
        <v>Daniil Medvedev3</v>
      </c>
      <c r="B180" s="189"/>
      <c r="C180" s="132" t="s">
        <v>4</v>
      </c>
      <c r="D180" s="3">
        <v>-5</v>
      </c>
      <c r="E180" s="3">
        <v>97</v>
      </c>
      <c r="F180" s="3">
        <v>-15</v>
      </c>
      <c r="G180" s="4"/>
      <c r="H180" s="3">
        <v>134</v>
      </c>
      <c r="I180" s="4"/>
      <c r="J180" s="8">
        <v>238</v>
      </c>
      <c r="K180" s="4"/>
      <c r="L180" s="4"/>
      <c r="M180" s="4"/>
      <c r="N180" s="4"/>
      <c r="O180" s="4"/>
      <c r="P180" s="4"/>
      <c r="R180" s="4"/>
      <c r="S180" s="4"/>
      <c r="T180" s="4"/>
      <c r="U180" s="4"/>
      <c r="V180" s="4"/>
      <c r="W180" s="4"/>
      <c r="X180" s="4"/>
      <c r="Y180" s="4"/>
      <c r="Z180" s="4"/>
      <c r="AA180" s="132">
        <f>SUM(D180:Z180)</f>
        <v>449</v>
      </c>
      <c r="AB180" s="132">
        <f>COUNT(D180:Z180)</f>
        <v>5</v>
      </c>
    </row>
    <row r="181" spans="1:28" s="132" customFormat="1" ht="16" customHeight="1" x14ac:dyDescent="0.2">
      <c r="A181" s="142" t="str">
        <f t="shared" ref="A181" si="214">B178&amp;"4"</f>
        <v>Daniil Medvedev4</v>
      </c>
      <c r="B181" s="189"/>
      <c r="C181" s="132" t="s">
        <v>5</v>
      </c>
      <c r="D181" s="3">
        <v>-1</v>
      </c>
      <c r="E181" s="3">
        <v>85</v>
      </c>
      <c r="F181" s="7">
        <v>195</v>
      </c>
      <c r="G181" s="8">
        <v>155</v>
      </c>
      <c r="H181" s="6">
        <v>404</v>
      </c>
      <c r="I181" s="3">
        <v>21</v>
      </c>
      <c r="J181" s="7">
        <v>406</v>
      </c>
      <c r="K181" s="4"/>
      <c r="L181" s="4"/>
      <c r="M181" s="4"/>
      <c r="N181" s="4"/>
      <c r="O181" s="4"/>
      <c r="P181" s="4"/>
      <c r="R181" s="4"/>
      <c r="S181" s="4"/>
      <c r="T181" s="4"/>
      <c r="U181" s="4"/>
      <c r="V181" s="4"/>
      <c r="W181" s="4"/>
      <c r="X181" s="4"/>
      <c r="Y181" s="4"/>
      <c r="Z181" s="4"/>
      <c r="AA181" s="132">
        <f>SUM(D181:Z181)</f>
        <v>1265</v>
      </c>
      <c r="AB181" s="132">
        <f>COUNT(D181:Z181)</f>
        <v>7</v>
      </c>
    </row>
    <row r="182" spans="1:28" s="132" customFormat="1" ht="16" customHeight="1" x14ac:dyDescent="0.2">
      <c r="A182" s="142" t="str">
        <f t="shared" ref="A182" si="215">B178&amp;"5"</f>
        <v>Daniil Medvedev5</v>
      </c>
      <c r="B182" s="189"/>
      <c r="C182" s="132">
        <f>SUM(D182:Z182)</f>
        <v>2872</v>
      </c>
      <c r="D182" s="132">
        <f>SUM(D178:D181)</f>
        <v>-204</v>
      </c>
      <c r="E182" s="132">
        <f t="shared" ref="E182" si="216">SUM(E178:E181)</f>
        <v>110</v>
      </c>
      <c r="F182" s="132">
        <f>SUM(F178:F181)</f>
        <v>233</v>
      </c>
      <c r="G182" s="132">
        <f>SUM(G178:G181)</f>
        <v>132</v>
      </c>
      <c r="H182" s="132">
        <f>SUM(H178:H181)</f>
        <v>1132</v>
      </c>
      <c r="I182" s="132">
        <f t="shared" ref="I182:O182" si="217">SUM(I178:I181)</f>
        <v>412</v>
      </c>
      <c r="J182" s="132">
        <f t="shared" si="217"/>
        <v>561</v>
      </c>
      <c r="K182" s="132">
        <f t="shared" si="217"/>
        <v>496</v>
      </c>
      <c r="L182" s="132">
        <f t="shared" si="217"/>
        <v>0</v>
      </c>
      <c r="M182" s="132">
        <f t="shared" si="217"/>
        <v>0</v>
      </c>
      <c r="N182" s="132">
        <f t="shared" si="217"/>
        <v>0</v>
      </c>
      <c r="O182" s="132">
        <f t="shared" si="217"/>
        <v>0</v>
      </c>
      <c r="P182" s="132">
        <f>SUM(O178:O181)</f>
        <v>0</v>
      </c>
      <c r="Q182" s="132">
        <f>SUM(P178:P181)</f>
        <v>0</v>
      </c>
      <c r="R182" s="4">
        <f t="shared" ref="R182:Z182" si="218">SUM(R178:R181)</f>
        <v>0</v>
      </c>
      <c r="S182" s="132">
        <f t="shared" si="218"/>
        <v>0</v>
      </c>
      <c r="T182" s="132">
        <f t="shared" si="218"/>
        <v>0</v>
      </c>
      <c r="U182" s="132">
        <f t="shared" si="218"/>
        <v>0</v>
      </c>
      <c r="V182" s="132">
        <f t="shared" si="218"/>
        <v>0</v>
      </c>
      <c r="W182" s="132">
        <f t="shared" si="218"/>
        <v>0</v>
      </c>
      <c r="X182" s="132">
        <f t="shared" si="218"/>
        <v>0</v>
      </c>
      <c r="Y182" s="132">
        <f t="shared" si="218"/>
        <v>0</v>
      </c>
      <c r="Z182" s="132">
        <f t="shared" si="218"/>
        <v>0</v>
      </c>
    </row>
    <row r="183" spans="1:28" s="135" customFormat="1" ht="16" customHeight="1" x14ac:dyDescent="0.2">
      <c r="A183" s="142" t="str">
        <f t="shared" ref="A183" si="219">B183&amp;"1"</f>
        <v>Carlos Alcaraz1</v>
      </c>
      <c r="B183" s="189" t="s">
        <v>231</v>
      </c>
      <c r="C183" s="135" t="s">
        <v>2</v>
      </c>
      <c r="D183" s="3">
        <v>-93</v>
      </c>
      <c r="E183" s="3">
        <v>55</v>
      </c>
      <c r="F183" s="4"/>
      <c r="G183" s="5">
        <v>100</v>
      </c>
      <c r="H183" s="4"/>
      <c r="I183" s="4"/>
      <c r="J183" s="4"/>
      <c r="K183" s="4"/>
      <c r="L183" s="4"/>
      <c r="M183" s="4"/>
      <c r="N183" s="4"/>
      <c r="O183" s="4"/>
      <c r="P183" s="4"/>
      <c r="R183" s="4"/>
      <c r="S183" s="4"/>
      <c r="T183" s="4"/>
      <c r="U183" s="4"/>
      <c r="V183" s="4"/>
      <c r="W183" s="4"/>
      <c r="X183" s="4"/>
      <c r="Y183" s="4"/>
      <c r="Z183" s="4"/>
      <c r="AA183" s="135">
        <f>SUM(D183:Z183)</f>
        <v>62</v>
      </c>
      <c r="AB183" s="135">
        <f>COUNT(D183:Z183)</f>
        <v>3</v>
      </c>
    </row>
    <row r="184" spans="1:28" s="135" customFormat="1" ht="16" customHeight="1" x14ac:dyDescent="0.2">
      <c r="A184" s="142" t="str">
        <f t="shared" ref="A184" si="220">B183&amp;"2"</f>
        <v>Carlos Alcaraz2</v>
      </c>
      <c r="B184" s="189"/>
      <c r="C184" s="135" t="s">
        <v>3</v>
      </c>
      <c r="D184" s="3">
        <v>31</v>
      </c>
      <c r="E184" s="5">
        <v>216</v>
      </c>
      <c r="F184" s="8">
        <v>271</v>
      </c>
      <c r="G184" s="6">
        <v>489</v>
      </c>
      <c r="H184" s="4"/>
      <c r="I184" s="4"/>
      <c r="J184" s="4"/>
      <c r="K184" s="4"/>
      <c r="L184" s="4"/>
      <c r="M184" s="4"/>
      <c r="N184" s="4"/>
      <c r="O184" s="4"/>
      <c r="P184" s="4"/>
      <c r="R184" s="4"/>
      <c r="S184" s="4"/>
      <c r="T184" s="4"/>
      <c r="U184" s="4"/>
      <c r="V184" s="4"/>
      <c r="W184" s="4"/>
      <c r="X184" s="4"/>
      <c r="Y184" s="4"/>
      <c r="Z184" s="4"/>
      <c r="AA184" s="135">
        <f>SUM(D184:Z184)</f>
        <v>1007</v>
      </c>
      <c r="AB184" s="135">
        <f>COUNT(D184:Z184)</f>
        <v>4</v>
      </c>
    </row>
    <row r="185" spans="1:28" s="135" customFormat="1" ht="16" customHeight="1" x14ac:dyDescent="0.2">
      <c r="A185" s="142" t="str">
        <f t="shared" ref="A185" si="221">B183&amp;"3"</f>
        <v>Carlos Alcaraz3</v>
      </c>
      <c r="B185" s="189"/>
      <c r="C185" s="135" t="s">
        <v>4</v>
      </c>
      <c r="D185" s="3">
        <v>-1</v>
      </c>
      <c r="E185" s="3">
        <v>106</v>
      </c>
      <c r="F185" s="6">
        <v>493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R185" s="4"/>
      <c r="S185" s="4"/>
      <c r="T185" s="4"/>
      <c r="U185" s="4"/>
      <c r="V185" s="4"/>
      <c r="W185" s="4"/>
      <c r="X185" s="4"/>
      <c r="Y185" s="4"/>
      <c r="Z185" s="4"/>
      <c r="AA185" s="135">
        <f>SUM(D185:Z185)</f>
        <v>598</v>
      </c>
      <c r="AB185" s="135">
        <f>COUNT(D185:Z185)</f>
        <v>3</v>
      </c>
    </row>
    <row r="186" spans="1:28" s="135" customFormat="1" ht="16" customHeight="1" x14ac:dyDescent="0.2">
      <c r="A186" s="142" t="str">
        <f t="shared" ref="A186" si="222">B183&amp;"4"</f>
        <v>Carlos Alcaraz4</v>
      </c>
      <c r="B186" s="189"/>
      <c r="C186" s="135" t="s">
        <v>5</v>
      </c>
      <c r="D186" s="5">
        <v>187</v>
      </c>
      <c r="E186" s="6">
        <v>539</v>
      </c>
      <c r="F186" s="8">
        <v>244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R186" s="4"/>
      <c r="S186" s="4"/>
      <c r="T186" s="4"/>
      <c r="U186" s="4"/>
      <c r="V186" s="4"/>
      <c r="W186" s="4"/>
      <c r="X186" s="4"/>
      <c r="Y186" s="4"/>
      <c r="Z186" s="4"/>
      <c r="AA186" s="135">
        <f>SUM(D186:Z186)</f>
        <v>970</v>
      </c>
      <c r="AB186" s="135">
        <f>COUNT(D186:Z186)</f>
        <v>3</v>
      </c>
    </row>
    <row r="187" spans="1:28" s="135" customFormat="1" ht="16" customHeight="1" x14ac:dyDescent="0.2">
      <c r="A187" s="142" t="str">
        <f t="shared" ref="A187" si="223">B183&amp;"5"</f>
        <v>Carlos Alcaraz5</v>
      </c>
      <c r="B187" s="189"/>
      <c r="C187" s="135">
        <f>SUM(D187:Z187)</f>
        <v>2637</v>
      </c>
      <c r="D187" s="135">
        <f>SUM(D183:D186)</f>
        <v>124</v>
      </c>
      <c r="E187" s="135">
        <f t="shared" ref="E187" si="224">SUM(E183:E186)</f>
        <v>916</v>
      </c>
      <c r="F187" s="135">
        <f>SUM(F183:F186)</f>
        <v>1008</v>
      </c>
      <c r="G187" s="135">
        <f>SUM(G183:G186)</f>
        <v>589</v>
      </c>
      <c r="H187" s="135">
        <f>SUM(H183:H186)</f>
        <v>0</v>
      </c>
      <c r="I187" s="135">
        <f t="shared" ref="I187:O187" si="225">SUM(I183:I186)</f>
        <v>0</v>
      </c>
      <c r="J187" s="135">
        <f t="shared" si="225"/>
        <v>0</v>
      </c>
      <c r="K187" s="135">
        <f t="shared" si="225"/>
        <v>0</v>
      </c>
      <c r="L187" s="135">
        <f t="shared" si="225"/>
        <v>0</v>
      </c>
      <c r="M187" s="135">
        <f t="shared" si="225"/>
        <v>0</v>
      </c>
      <c r="N187" s="135">
        <f t="shared" si="225"/>
        <v>0</v>
      </c>
      <c r="O187" s="135">
        <f t="shared" si="225"/>
        <v>0</v>
      </c>
      <c r="P187" s="135">
        <f>SUM(O183:O186)</f>
        <v>0</v>
      </c>
      <c r="Q187" s="135">
        <f>SUM(P183:P186)</f>
        <v>0</v>
      </c>
      <c r="R187" s="4">
        <f t="shared" ref="R187:Z187" si="226">SUM(R183:R186)</f>
        <v>0</v>
      </c>
      <c r="S187" s="135">
        <f t="shared" si="226"/>
        <v>0</v>
      </c>
      <c r="T187" s="135">
        <f t="shared" si="226"/>
        <v>0</v>
      </c>
      <c r="U187" s="135">
        <f t="shared" si="226"/>
        <v>0</v>
      </c>
      <c r="V187" s="135">
        <f t="shared" si="226"/>
        <v>0</v>
      </c>
      <c r="W187" s="135">
        <f t="shared" si="226"/>
        <v>0</v>
      </c>
      <c r="X187" s="135">
        <f t="shared" si="226"/>
        <v>0</v>
      </c>
      <c r="Y187" s="135">
        <f t="shared" si="226"/>
        <v>0</v>
      </c>
      <c r="Z187" s="135">
        <f t="shared" si="226"/>
        <v>0</v>
      </c>
    </row>
    <row r="188" spans="1:28" s="106" customFormat="1" ht="16" customHeight="1" x14ac:dyDescent="0.2">
      <c r="A188" s="142" t="str">
        <f t="shared" ref="A188" si="227">B188&amp;"1"</f>
        <v>Gaston Gaudio1</v>
      </c>
      <c r="B188" s="189" t="s">
        <v>184</v>
      </c>
      <c r="C188" s="139" t="s">
        <v>2</v>
      </c>
      <c r="E188" s="3">
        <v>-99</v>
      </c>
      <c r="F188" s="3">
        <v>-1</v>
      </c>
      <c r="G188" s="3">
        <v>63</v>
      </c>
      <c r="H188" s="3">
        <v>-41</v>
      </c>
      <c r="I188" s="3">
        <v>36</v>
      </c>
      <c r="J188" s="3">
        <v>44</v>
      </c>
      <c r="K188" s="3">
        <v>-63</v>
      </c>
      <c r="L188" s="3">
        <v>-99</v>
      </c>
      <c r="M188" s="128"/>
      <c r="N188" s="128"/>
      <c r="O188" s="128"/>
      <c r="Q188" s="120"/>
      <c r="AA188" s="139">
        <f>SUM(D188:Z188)</f>
        <v>-160</v>
      </c>
      <c r="AB188" s="139">
        <f>COUNT(D188:Z188)</f>
        <v>8</v>
      </c>
    </row>
    <row r="189" spans="1:28" s="139" customFormat="1" ht="16" customHeight="1" x14ac:dyDescent="0.2">
      <c r="A189" s="142" t="str">
        <f t="shared" ref="A189" si="228">B188&amp;"2"</f>
        <v>Gaston Gaudio2</v>
      </c>
      <c r="B189" s="189"/>
      <c r="C189" s="139" t="s">
        <v>3</v>
      </c>
      <c r="D189" s="3">
        <v>2</v>
      </c>
      <c r="E189" s="3">
        <v>42</v>
      </c>
      <c r="F189" s="3">
        <v>-21</v>
      </c>
      <c r="G189" s="3">
        <v>59</v>
      </c>
      <c r="H189" s="3">
        <v>58</v>
      </c>
      <c r="I189" s="6">
        <v>499</v>
      </c>
      <c r="J189" s="3">
        <v>3</v>
      </c>
      <c r="K189" s="3">
        <v>72</v>
      </c>
      <c r="L189" s="3">
        <v>45</v>
      </c>
      <c r="N189" s="3">
        <v>-18</v>
      </c>
      <c r="AA189" s="139">
        <f>SUM(D189:Z189)</f>
        <v>741</v>
      </c>
      <c r="AB189" s="139">
        <f>COUNT(D189:Z189)</f>
        <v>10</v>
      </c>
    </row>
    <row r="190" spans="1:28" s="139" customFormat="1" ht="16" customHeight="1" x14ac:dyDescent="0.2">
      <c r="A190" s="142" t="str">
        <f t="shared" ref="A190" si="229">B188&amp;"3"</f>
        <v>Gaston Gaudio3</v>
      </c>
      <c r="B190" s="189"/>
      <c r="C190" s="139" t="s">
        <v>4</v>
      </c>
      <c r="D190" s="3">
        <v>-60</v>
      </c>
      <c r="E190" s="3">
        <v>-24</v>
      </c>
      <c r="F190" s="3">
        <v>-49</v>
      </c>
      <c r="G190" s="3">
        <v>-60</v>
      </c>
      <c r="H190" s="3">
        <v>-45</v>
      </c>
      <c r="K190" s="3">
        <v>-98</v>
      </c>
      <c r="AA190" s="139">
        <f>SUM(D190:Z190)</f>
        <v>-336</v>
      </c>
      <c r="AB190" s="139">
        <f>COUNT(D190:Z190)</f>
        <v>6</v>
      </c>
    </row>
    <row r="191" spans="1:28" s="139" customFormat="1" ht="16" customHeight="1" x14ac:dyDescent="0.2">
      <c r="A191" s="142" t="str">
        <f t="shared" ref="A191" si="230">B188&amp;"4"</f>
        <v>Gaston Gaudio4</v>
      </c>
      <c r="B191" s="189"/>
      <c r="C191" s="139" t="s">
        <v>5</v>
      </c>
      <c r="D191" s="3">
        <v>-93</v>
      </c>
      <c r="E191" s="3">
        <v>-37</v>
      </c>
      <c r="F191" s="3">
        <v>-44</v>
      </c>
      <c r="G191" s="3">
        <v>21</v>
      </c>
      <c r="H191" s="3">
        <v>-42</v>
      </c>
      <c r="I191" s="3">
        <v>-43</v>
      </c>
      <c r="J191" s="3">
        <v>-99</v>
      </c>
      <c r="K191" s="3">
        <v>-50</v>
      </c>
      <c r="AA191" s="139">
        <f>SUM(D191:Z191)</f>
        <v>-387</v>
      </c>
      <c r="AB191" s="139">
        <f>COUNT(D191:Z191)</f>
        <v>8</v>
      </c>
    </row>
    <row r="192" spans="1:28" s="139" customFormat="1" ht="16" customHeight="1" x14ac:dyDescent="0.2">
      <c r="A192" s="142" t="str">
        <f t="shared" ref="A192" si="231">B188&amp;"5"</f>
        <v>Gaston Gaudio5</v>
      </c>
      <c r="B192" s="189"/>
      <c r="C192" s="139">
        <f>SUM(D192:Z192)</f>
        <v>-142</v>
      </c>
      <c r="D192" s="139">
        <f>SUM(D188:D191)</f>
        <v>-151</v>
      </c>
      <c r="E192" s="139">
        <f t="shared" ref="E192" si="232">SUM(E188:E191)</f>
        <v>-118</v>
      </c>
      <c r="F192" s="139">
        <f>SUM(F188:F191)</f>
        <v>-115</v>
      </c>
      <c r="G192" s="139">
        <f>SUM(G188:G191)</f>
        <v>83</v>
      </c>
      <c r="H192" s="139">
        <f>SUM(H188:H191)</f>
        <v>-70</v>
      </c>
      <c r="I192" s="139">
        <f t="shared" ref="I192:O192" si="233">SUM(I188:I191)</f>
        <v>492</v>
      </c>
      <c r="J192" s="139">
        <f t="shared" si="233"/>
        <v>-52</v>
      </c>
      <c r="K192" s="139">
        <f t="shared" si="233"/>
        <v>-139</v>
      </c>
      <c r="L192" s="139">
        <f t="shared" si="233"/>
        <v>-54</v>
      </c>
      <c r="M192" s="139">
        <f t="shared" si="233"/>
        <v>0</v>
      </c>
      <c r="N192" s="139">
        <f t="shared" si="233"/>
        <v>-18</v>
      </c>
      <c r="O192" s="139">
        <f t="shared" si="233"/>
        <v>0</v>
      </c>
      <c r="P192" s="139">
        <f>SUM(O188:O191)</f>
        <v>0</v>
      </c>
      <c r="Q192" s="139">
        <f>SUM(P188:P191)</f>
        <v>0</v>
      </c>
      <c r="R192" s="4">
        <f t="shared" ref="R192:Z192" si="234">SUM(R188:R191)</f>
        <v>0</v>
      </c>
      <c r="S192" s="139">
        <f t="shared" si="234"/>
        <v>0</v>
      </c>
      <c r="T192" s="139">
        <f t="shared" si="234"/>
        <v>0</v>
      </c>
      <c r="U192" s="139">
        <f t="shared" si="234"/>
        <v>0</v>
      </c>
      <c r="V192" s="139">
        <f t="shared" si="234"/>
        <v>0</v>
      </c>
      <c r="W192" s="139">
        <f t="shared" si="234"/>
        <v>0</v>
      </c>
      <c r="X192" s="139">
        <f t="shared" si="234"/>
        <v>0</v>
      </c>
      <c r="Y192" s="139">
        <f t="shared" si="234"/>
        <v>0</v>
      </c>
      <c r="Z192" s="139">
        <f t="shared" si="234"/>
        <v>0</v>
      </c>
    </row>
    <row r="193" spans="1:28" s="142" customFormat="1" ht="16" customHeight="1" x14ac:dyDescent="0.2">
      <c r="A193" s="142" t="str">
        <f t="shared" ref="A193" si="235">B193&amp;"1"</f>
        <v>Andres Gimeno1</v>
      </c>
      <c r="B193" s="189" t="s">
        <v>165</v>
      </c>
      <c r="C193" s="142" t="s">
        <v>2</v>
      </c>
      <c r="D193" s="4"/>
      <c r="E193" s="7">
        <v>303</v>
      </c>
      <c r="F193" s="4"/>
      <c r="G193" s="3">
        <v>-22</v>
      </c>
      <c r="H193" s="4"/>
      <c r="I193" s="4"/>
      <c r="J193" s="4"/>
      <c r="K193" s="4"/>
      <c r="L193" s="4"/>
      <c r="M193" s="4"/>
      <c r="N193" s="4"/>
      <c r="AA193" s="142">
        <f>SUM(D193:Z193)</f>
        <v>281</v>
      </c>
      <c r="AB193" s="142">
        <f>COUNT(D193:Z193)</f>
        <v>2</v>
      </c>
    </row>
    <row r="194" spans="1:28" s="142" customFormat="1" ht="16" customHeight="1" x14ac:dyDescent="0.2">
      <c r="A194" s="142" t="str">
        <f t="shared" ref="A194" si="236">B193&amp;"2"</f>
        <v>Andres Gimeno2</v>
      </c>
      <c r="B194" s="189"/>
      <c r="C194" s="142" t="s">
        <v>3</v>
      </c>
      <c r="D194" s="8">
        <v>173</v>
      </c>
      <c r="E194" s="5">
        <v>102</v>
      </c>
      <c r="F194" s="4"/>
      <c r="G194" s="4"/>
      <c r="H194" s="6">
        <v>447</v>
      </c>
      <c r="I194" s="3">
        <v>-30</v>
      </c>
      <c r="J194" s="4"/>
      <c r="K194" s="4"/>
      <c r="L194" s="4"/>
      <c r="M194" s="4"/>
      <c r="N194" s="4"/>
      <c r="AA194" s="142">
        <f>SUM(D194:Z194)</f>
        <v>692</v>
      </c>
      <c r="AB194" s="142">
        <f>COUNT(D194:Z194)</f>
        <v>4</v>
      </c>
    </row>
    <row r="195" spans="1:28" s="142" customFormat="1" ht="16" customHeight="1" x14ac:dyDescent="0.2">
      <c r="A195" s="142" t="str">
        <f t="shared" ref="A195" si="237">B193&amp;"3"</f>
        <v>Andres Gimeno3</v>
      </c>
      <c r="B195" s="189"/>
      <c r="C195" s="142" t="s">
        <v>4</v>
      </c>
      <c r="D195" s="3">
        <v>47</v>
      </c>
      <c r="E195" s="3">
        <v>43</v>
      </c>
      <c r="F195" s="8">
        <v>311</v>
      </c>
      <c r="G195" s="3">
        <v>-99</v>
      </c>
      <c r="H195" s="3">
        <v>-20</v>
      </c>
      <c r="I195" s="4"/>
      <c r="J195" s="4"/>
      <c r="K195" s="4"/>
      <c r="L195" s="4"/>
      <c r="M195" s="4"/>
      <c r="N195" s="4"/>
      <c r="AA195" s="142">
        <f>SUM(D195:Z195)</f>
        <v>282</v>
      </c>
      <c r="AB195" s="142">
        <f>COUNT(D195:Z195)</f>
        <v>5</v>
      </c>
    </row>
    <row r="196" spans="1:28" s="142" customFormat="1" ht="16" customHeight="1" x14ac:dyDescent="0.2">
      <c r="A196" s="142" t="str">
        <f t="shared" ref="A196" si="238">B193&amp;"4"</f>
        <v>Andres Gimeno4</v>
      </c>
      <c r="B196" s="189"/>
      <c r="C196" s="142" t="s">
        <v>5</v>
      </c>
      <c r="D196" s="3">
        <v>-41</v>
      </c>
      <c r="E196" s="3">
        <v>48</v>
      </c>
      <c r="F196" s="3">
        <v>-44</v>
      </c>
      <c r="G196" s="4"/>
      <c r="H196" s="3">
        <v>99</v>
      </c>
      <c r="I196" s="4"/>
      <c r="J196" s="4"/>
      <c r="K196" s="4"/>
      <c r="L196" s="4"/>
      <c r="M196" s="4"/>
      <c r="N196" s="4"/>
      <c r="AA196" s="142">
        <f>SUM(D196:Z196)</f>
        <v>62</v>
      </c>
      <c r="AB196" s="142">
        <f>COUNT(D196:Z196)</f>
        <v>4</v>
      </c>
    </row>
    <row r="197" spans="1:28" s="142" customFormat="1" ht="16" customHeight="1" x14ac:dyDescent="0.2">
      <c r="A197" s="142" t="str">
        <f t="shared" ref="A197" si="239">B193&amp;"5"</f>
        <v>Andres Gimeno5</v>
      </c>
      <c r="B197" s="189"/>
      <c r="C197" s="142">
        <f>SUM(D197:Z197)</f>
        <v>1317</v>
      </c>
      <c r="D197" s="142">
        <f>SUM(D193:D196)</f>
        <v>179</v>
      </c>
      <c r="E197" s="142">
        <f t="shared" ref="E197" si="240">SUM(E193:E196)</f>
        <v>496</v>
      </c>
      <c r="F197" s="142">
        <f>SUM(F193:F196)</f>
        <v>267</v>
      </c>
      <c r="G197" s="142">
        <f>SUM(G193:G196)</f>
        <v>-121</v>
      </c>
      <c r="H197" s="142">
        <f>SUM(H193:H196)</f>
        <v>526</v>
      </c>
      <c r="I197" s="142">
        <f t="shared" ref="I197:O197" si="241">SUM(I193:I196)</f>
        <v>-30</v>
      </c>
      <c r="J197" s="142">
        <f t="shared" si="241"/>
        <v>0</v>
      </c>
      <c r="K197" s="142">
        <f t="shared" si="241"/>
        <v>0</v>
      </c>
      <c r="L197" s="142">
        <f t="shared" si="241"/>
        <v>0</v>
      </c>
      <c r="M197" s="142">
        <f t="shared" si="241"/>
        <v>0</v>
      </c>
      <c r="N197" s="142">
        <f t="shared" si="241"/>
        <v>0</v>
      </c>
      <c r="O197" s="142">
        <f t="shared" si="241"/>
        <v>0</v>
      </c>
      <c r="P197" s="142">
        <f>SUM(O193:O196)</f>
        <v>0</v>
      </c>
      <c r="Q197" s="142">
        <f>SUM(P193:P196)</f>
        <v>0</v>
      </c>
      <c r="R197" s="4">
        <f t="shared" ref="R197:Z197" si="242">SUM(R193:R196)</f>
        <v>0</v>
      </c>
      <c r="S197" s="142">
        <f t="shared" si="242"/>
        <v>0</v>
      </c>
      <c r="T197" s="142">
        <f t="shared" si="242"/>
        <v>0</v>
      </c>
      <c r="U197" s="142">
        <f t="shared" si="242"/>
        <v>0</v>
      </c>
      <c r="V197" s="142">
        <f t="shared" si="242"/>
        <v>0</v>
      </c>
      <c r="W197" s="142">
        <f t="shared" si="242"/>
        <v>0</v>
      </c>
      <c r="X197" s="142">
        <f t="shared" si="242"/>
        <v>0</v>
      </c>
      <c r="Y197" s="142">
        <f t="shared" si="242"/>
        <v>0</v>
      </c>
      <c r="Z197" s="142">
        <f t="shared" si="242"/>
        <v>0</v>
      </c>
    </row>
    <row r="198" spans="1:28" s="150" customFormat="1" ht="16" customHeight="1" x14ac:dyDescent="0.2">
      <c r="A198" s="150" t="str">
        <f t="shared" ref="A198" si="243">B198&amp;"1"</f>
        <v>Manuel Orantes1</v>
      </c>
      <c r="B198" s="189" t="s">
        <v>166</v>
      </c>
      <c r="C198" s="150" t="s">
        <v>2</v>
      </c>
      <c r="D198" s="5">
        <v>65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AA198" s="150">
        <f>SUM(D198:Z198)</f>
        <v>65</v>
      </c>
      <c r="AB198" s="150">
        <f>COUNT(D198:Z198)</f>
        <v>1</v>
      </c>
    </row>
    <row r="199" spans="1:28" s="150" customFormat="1" ht="16" customHeight="1" x14ac:dyDescent="0.2">
      <c r="A199" s="150" t="str">
        <f t="shared" ref="A199" si="244">B198&amp;"2"</f>
        <v>Manuel Orantes2</v>
      </c>
      <c r="B199" s="189"/>
      <c r="C199" s="150" t="s">
        <v>3</v>
      </c>
      <c r="D199" s="4"/>
      <c r="E199" s="3">
        <v>52</v>
      </c>
      <c r="F199" s="3">
        <v>85</v>
      </c>
      <c r="G199" s="4"/>
      <c r="H199" s="8">
        <v>91</v>
      </c>
      <c r="I199" s="3">
        <v>-99</v>
      </c>
      <c r="J199" s="7">
        <v>347</v>
      </c>
      <c r="K199" s="3">
        <v>-84</v>
      </c>
      <c r="L199" s="5">
        <v>126</v>
      </c>
      <c r="M199" s="4"/>
      <c r="N199" s="5">
        <v>171</v>
      </c>
      <c r="O199" s="3">
        <v>205</v>
      </c>
      <c r="P199" s="3">
        <v>82</v>
      </c>
      <c r="Q199" s="3">
        <v>-99</v>
      </c>
      <c r="S199" s="3">
        <v>-98</v>
      </c>
      <c r="AA199" s="150">
        <f>SUM(D199:Z199)</f>
        <v>779</v>
      </c>
      <c r="AB199" s="150">
        <f>COUNT(D199:Z199)</f>
        <v>12</v>
      </c>
    </row>
    <row r="200" spans="1:28" s="150" customFormat="1" ht="16" customHeight="1" x14ac:dyDescent="0.2">
      <c r="A200" s="150" t="str">
        <f t="shared" ref="A200" si="245">B198&amp;"3"</f>
        <v>Manuel Orantes3</v>
      </c>
      <c r="B200" s="189"/>
      <c r="C200" s="150" t="s">
        <v>4</v>
      </c>
      <c r="D200" s="3">
        <v>-29</v>
      </c>
      <c r="E200" s="3">
        <v>-30</v>
      </c>
      <c r="F200" s="3">
        <v>4</v>
      </c>
      <c r="G200" s="3">
        <v>-38</v>
      </c>
      <c r="H200" s="8">
        <v>163</v>
      </c>
      <c r="I200" s="4"/>
      <c r="J200" s="3">
        <v>-7</v>
      </c>
      <c r="K200" s="6">
        <v>439</v>
      </c>
      <c r="L200" s="4"/>
      <c r="M200" s="4"/>
      <c r="N200" s="4"/>
      <c r="O200" s="3">
        <v>-84</v>
      </c>
      <c r="AA200" s="150">
        <f>SUM(D200:Z200)</f>
        <v>418</v>
      </c>
      <c r="AB200" s="150">
        <f>COUNT(D200:Z200)</f>
        <v>8</v>
      </c>
    </row>
    <row r="201" spans="1:28" s="150" customFormat="1" ht="16" customHeight="1" x14ac:dyDescent="0.2">
      <c r="A201" s="150" t="str">
        <f t="shared" ref="A201" si="246">B198&amp;"4"</f>
        <v>Manuel Orantes4</v>
      </c>
      <c r="B201" s="189"/>
      <c r="C201" s="150" t="s">
        <v>5</v>
      </c>
      <c r="D201" s="4"/>
      <c r="E201" s="3">
        <v>-8</v>
      </c>
      <c r="F201" s="4"/>
      <c r="G201" s="5">
        <v>198</v>
      </c>
      <c r="H201" s="3">
        <v>32</v>
      </c>
      <c r="I201" s="3">
        <v>0</v>
      </c>
      <c r="J201" s="3">
        <v>-98</v>
      </c>
      <c r="K201" s="4"/>
      <c r="L201" s="5">
        <v>148</v>
      </c>
      <c r="M201" s="5">
        <v>107</v>
      </c>
      <c r="N201" s="3">
        <v>-30</v>
      </c>
      <c r="AA201" s="150">
        <f>SUM(D201:Z201)</f>
        <v>349</v>
      </c>
      <c r="AB201" s="150">
        <f>COUNT(D201:Z201)</f>
        <v>8</v>
      </c>
    </row>
    <row r="202" spans="1:28" s="150" customFormat="1" ht="16" customHeight="1" x14ac:dyDescent="0.2">
      <c r="A202" s="150" t="str">
        <f t="shared" ref="A202:A207" si="247">B198&amp;"5"</f>
        <v>Manuel Orantes5</v>
      </c>
      <c r="B202" s="189"/>
      <c r="C202" s="150">
        <f>SUM(D202:Z202)</f>
        <v>1611</v>
      </c>
      <c r="D202" s="153">
        <f t="shared" ref="D202:Z202" si="248">SUM(D198:D201)</f>
        <v>36</v>
      </c>
      <c r="E202" s="153">
        <f t="shared" si="248"/>
        <v>14</v>
      </c>
      <c r="F202" s="153">
        <f t="shared" si="248"/>
        <v>89</v>
      </c>
      <c r="G202" s="153">
        <f t="shared" si="248"/>
        <v>160</v>
      </c>
      <c r="H202" s="153">
        <f t="shared" si="248"/>
        <v>286</v>
      </c>
      <c r="I202" s="153">
        <f t="shared" si="248"/>
        <v>-99</v>
      </c>
      <c r="J202" s="153">
        <f t="shared" si="248"/>
        <v>242</v>
      </c>
      <c r="K202" s="153">
        <f t="shared" si="248"/>
        <v>355</v>
      </c>
      <c r="L202" s="153">
        <f t="shared" si="248"/>
        <v>274</v>
      </c>
      <c r="M202" s="153">
        <f t="shared" si="248"/>
        <v>107</v>
      </c>
      <c r="N202" s="150">
        <f t="shared" ref="N202" si="249">SUM(N198:N201)</f>
        <v>141</v>
      </c>
      <c r="O202" s="153">
        <f t="shared" si="248"/>
        <v>121</v>
      </c>
      <c r="P202" s="153">
        <f t="shared" si="248"/>
        <v>82</v>
      </c>
      <c r="Q202" s="153">
        <f t="shared" si="248"/>
        <v>-99</v>
      </c>
      <c r="R202" s="153">
        <f t="shared" si="248"/>
        <v>0</v>
      </c>
      <c r="S202" s="153">
        <f t="shared" si="248"/>
        <v>-98</v>
      </c>
      <c r="T202" s="153">
        <f t="shared" si="248"/>
        <v>0</v>
      </c>
      <c r="U202" s="153">
        <f t="shared" si="248"/>
        <v>0</v>
      </c>
      <c r="V202" s="153">
        <f t="shared" si="248"/>
        <v>0</v>
      </c>
      <c r="W202" s="153">
        <f t="shared" si="248"/>
        <v>0</v>
      </c>
      <c r="X202" s="153">
        <f t="shared" si="248"/>
        <v>0</v>
      </c>
      <c r="Y202" s="153">
        <f t="shared" si="248"/>
        <v>0</v>
      </c>
      <c r="Z202" s="153">
        <f t="shared" si="248"/>
        <v>0</v>
      </c>
    </row>
    <row r="203" spans="1:28" s="153" customFormat="1" ht="16" customHeight="1" x14ac:dyDescent="0.2">
      <c r="A203" s="153" t="str">
        <f t="shared" ref="A203" si="250">B203&amp;"1"</f>
        <v>Mark Edmondson1</v>
      </c>
      <c r="B203" s="189" t="s">
        <v>167</v>
      </c>
      <c r="C203" s="153" t="s">
        <v>2</v>
      </c>
      <c r="D203" s="3">
        <v>-3</v>
      </c>
      <c r="E203" s="6">
        <v>528</v>
      </c>
      <c r="F203" s="5">
        <v>19</v>
      </c>
      <c r="G203" s="3">
        <v>-8</v>
      </c>
      <c r="H203" s="5">
        <v>-1</v>
      </c>
      <c r="I203" s="3">
        <v>137</v>
      </c>
      <c r="J203" s="8">
        <v>117</v>
      </c>
      <c r="K203" s="3">
        <v>-99</v>
      </c>
      <c r="L203" s="3">
        <v>-13</v>
      </c>
      <c r="M203" s="3">
        <v>-99</v>
      </c>
      <c r="N203" s="3">
        <v>-99</v>
      </c>
      <c r="O203" s="4"/>
      <c r="P203" s="3">
        <v>-13</v>
      </c>
      <c r="Q203" s="4"/>
      <c r="R203" s="4"/>
      <c r="S203" s="4"/>
      <c r="AA203" s="153">
        <f>SUM(D203:Z203)</f>
        <v>466</v>
      </c>
      <c r="AB203" s="153">
        <f>COUNT(D203:Z203)</f>
        <v>12</v>
      </c>
    </row>
    <row r="204" spans="1:28" s="153" customFormat="1" ht="16" customHeight="1" x14ac:dyDescent="0.2">
      <c r="A204" s="153" t="str">
        <f t="shared" ref="A204" si="251">B203&amp;"2"</f>
        <v>Mark Edmondson2</v>
      </c>
      <c r="B204" s="189"/>
      <c r="C204" s="153" t="s">
        <v>3</v>
      </c>
      <c r="D204" s="4"/>
      <c r="E204" s="3">
        <v>-52</v>
      </c>
      <c r="F204" s="3">
        <v>0</v>
      </c>
      <c r="G204" s="3">
        <v>-99</v>
      </c>
      <c r="H204" s="3">
        <v>-8</v>
      </c>
      <c r="I204" s="3">
        <v>-24</v>
      </c>
      <c r="J204" s="3">
        <v>-52</v>
      </c>
      <c r="K204" s="4"/>
      <c r="L204" s="4"/>
      <c r="M204" s="4"/>
      <c r="N204" s="3">
        <v>-95</v>
      </c>
      <c r="O204" s="3">
        <v>-99</v>
      </c>
      <c r="P204" s="4"/>
      <c r="Q204" s="4"/>
      <c r="R204" s="4"/>
      <c r="S204" s="4"/>
      <c r="AA204" s="153">
        <f>SUM(D204:Z204)</f>
        <v>-429</v>
      </c>
      <c r="AB204" s="153">
        <f>COUNT(D204:Z204)</f>
        <v>8</v>
      </c>
    </row>
    <row r="205" spans="1:28" s="153" customFormat="1" ht="16" customHeight="1" x14ac:dyDescent="0.2">
      <c r="A205" s="153" t="str">
        <f t="shared" ref="A205" si="252">B203&amp;"3"</f>
        <v>Mark Edmondson3</v>
      </c>
      <c r="B205" s="189"/>
      <c r="C205" s="153" t="s">
        <v>4</v>
      </c>
      <c r="D205" s="3">
        <v>-35</v>
      </c>
      <c r="E205" s="3">
        <v>58</v>
      </c>
      <c r="F205" s="3">
        <v>-1</v>
      </c>
      <c r="G205" s="3">
        <v>39</v>
      </c>
      <c r="H205" s="3">
        <v>-30</v>
      </c>
      <c r="I205" s="3">
        <v>-13</v>
      </c>
      <c r="J205" s="3">
        <v>60</v>
      </c>
      <c r="K205" s="8">
        <v>205</v>
      </c>
      <c r="L205" s="3">
        <v>-6</v>
      </c>
      <c r="M205" s="3">
        <v>77</v>
      </c>
      <c r="N205" s="3">
        <v>-78</v>
      </c>
      <c r="O205" s="3">
        <v>-87</v>
      </c>
      <c r="P205" s="4"/>
      <c r="Q205" s="4"/>
      <c r="R205" s="4"/>
      <c r="S205" s="4"/>
      <c r="AA205" s="153">
        <f>SUM(D205:Z205)</f>
        <v>189</v>
      </c>
      <c r="AB205" s="153">
        <f>COUNT(D205:Z205)</f>
        <v>12</v>
      </c>
    </row>
    <row r="206" spans="1:28" s="153" customFormat="1" ht="16" customHeight="1" x14ac:dyDescent="0.2">
      <c r="A206" s="153" t="str">
        <f t="shared" ref="A206" si="253">B203&amp;"4"</f>
        <v>Mark Edmondson4</v>
      </c>
      <c r="B206" s="189"/>
      <c r="C206" s="153" t="s">
        <v>5</v>
      </c>
      <c r="D206" s="4"/>
      <c r="E206" s="3">
        <v>-99</v>
      </c>
      <c r="F206" s="3">
        <v>58</v>
      </c>
      <c r="G206" s="3">
        <v>-99</v>
      </c>
      <c r="H206" s="3">
        <v>-4</v>
      </c>
      <c r="I206" s="4"/>
      <c r="J206" s="3">
        <v>-42</v>
      </c>
      <c r="K206" s="3">
        <v>-98</v>
      </c>
      <c r="L206" s="4"/>
      <c r="M206" s="4"/>
      <c r="N206" s="4"/>
      <c r="O206" s="4"/>
      <c r="P206" s="4"/>
      <c r="Q206" s="4"/>
      <c r="R206" s="4"/>
      <c r="S206" s="4"/>
      <c r="AA206" s="153">
        <f>SUM(D206:Z206)</f>
        <v>-284</v>
      </c>
      <c r="AB206" s="153">
        <f>COUNT(D206:Z206)</f>
        <v>6</v>
      </c>
    </row>
    <row r="207" spans="1:28" s="153" customFormat="1" ht="16" customHeight="1" x14ac:dyDescent="0.2">
      <c r="A207" s="153" t="str">
        <f t="shared" si="247"/>
        <v>Mark Edmondson5</v>
      </c>
      <c r="B207" s="189"/>
      <c r="C207" s="153">
        <f>SUM(D207:Z207)</f>
        <v>-58</v>
      </c>
      <c r="D207" s="153">
        <f t="shared" ref="D207:Z207" si="254">SUM(D203:D206)</f>
        <v>-38</v>
      </c>
      <c r="E207" s="153">
        <f t="shared" si="254"/>
        <v>435</v>
      </c>
      <c r="F207" s="153">
        <f t="shared" si="254"/>
        <v>76</v>
      </c>
      <c r="G207" s="153">
        <f t="shared" si="254"/>
        <v>-167</v>
      </c>
      <c r="H207" s="153">
        <f t="shared" si="254"/>
        <v>-43</v>
      </c>
      <c r="I207" s="153">
        <f t="shared" si="254"/>
        <v>100</v>
      </c>
      <c r="J207" s="153">
        <f t="shared" si="254"/>
        <v>83</v>
      </c>
      <c r="K207" s="153">
        <f t="shared" si="254"/>
        <v>8</v>
      </c>
      <c r="L207" s="153">
        <f t="shared" si="254"/>
        <v>-19</v>
      </c>
      <c r="M207" s="153">
        <f t="shared" si="254"/>
        <v>-22</v>
      </c>
      <c r="N207" s="153">
        <f t="shared" si="254"/>
        <v>-272</v>
      </c>
      <c r="O207" s="153">
        <f t="shared" si="254"/>
        <v>-186</v>
      </c>
      <c r="P207" s="153">
        <f t="shared" si="254"/>
        <v>-13</v>
      </c>
      <c r="Q207" s="153">
        <f t="shared" si="254"/>
        <v>0</v>
      </c>
      <c r="R207" s="153">
        <f t="shared" si="254"/>
        <v>0</v>
      </c>
      <c r="S207" s="153">
        <f t="shared" si="254"/>
        <v>0</v>
      </c>
      <c r="T207" s="153">
        <f t="shared" si="254"/>
        <v>0</v>
      </c>
      <c r="U207" s="153">
        <f t="shared" si="254"/>
        <v>0</v>
      </c>
      <c r="V207" s="153">
        <f t="shared" si="254"/>
        <v>0</v>
      </c>
      <c r="W207" s="153">
        <f t="shared" si="254"/>
        <v>0</v>
      </c>
      <c r="X207" s="153">
        <f t="shared" si="254"/>
        <v>0</v>
      </c>
      <c r="Y207" s="153">
        <f t="shared" si="254"/>
        <v>0</v>
      </c>
      <c r="Z207" s="153">
        <f t="shared" si="254"/>
        <v>0</v>
      </c>
    </row>
    <row r="208" spans="1:28" s="156" customFormat="1" ht="16" customHeight="1" x14ac:dyDescent="0.2">
      <c r="A208" s="156" t="str">
        <f t="shared" ref="A208" si="255">B208&amp;"1"</f>
        <v>Adriano Panatta1</v>
      </c>
      <c r="B208" s="189" t="s">
        <v>168</v>
      </c>
      <c r="C208" s="156" t="s">
        <v>2</v>
      </c>
      <c r="D208" s="3">
        <v>-80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AA208" s="156">
        <f>SUM(D208:Z208)</f>
        <v>-80</v>
      </c>
      <c r="AB208" s="156">
        <f>COUNT(D208:Z208)</f>
        <v>1</v>
      </c>
    </row>
    <row r="209" spans="1:28" s="156" customFormat="1" ht="16" customHeight="1" x14ac:dyDescent="0.2">
      <c r="A209" s="156" t="str">
        <f t="shared" ref="A209" si="256">B208&amp;"2"</f>
        <v>Adriano Panatta2</v>
      </c>
      <c r="B209" s="189"/>
      <c r="C209" s="156" t="s">
        <v>3</v>
      </c>
      <c r="D209" s="3">
        <v>-80</v>
      </c>
      <c r="E209" s="3">
        <v>79</v>
      </c>
      <c r="F209" s="3">
        <v>-59</v>
      </c>
      <c r="G209" s="5">
        <v>171</v>
      </c>
      <c r="H209" s="8">
        <v>287</v>
      </c>
      <c r="I209" s="3">
        <v>-13</v>
      </c>
      <c r="J209" s="8">
        <v>236</v>
      </c>
      <c r="K209" s="6">
        <v>449</v>
      </c>
      <c r="L209" s="5">
        <v>78</v>
      </c>
      <c r="M209" s="3">
        <v>-32</v>
      </c>
      <c r="N209" s="3">
        <v>2</v>
      </c>
      <c r="O209" s="3">
        <v>-3</v>
      </c>
      <c r="P209" s="3">
        <v>17</v>
      </c>
      <c r="Q209" s="3">
        <v>-25</v>
      </c>
      <c r="R209" s="4"/>
      <c r="S209" s="4"/>
      <c r="AA209" s="156">
        <f>SUM(D209:Z209)</f>
        <v>1107</v>
      </c>
      <c r="AB209" s="156">
        <f>COUNT(D209:Z209)</f>
        <v>14</v>
      </c>
    </row>
    <row r="210" spans="1:28" s="156" customFormat="1" ht="16" customHeight="1" x14ac:dyDescent="0.2">
      <c r="A210" s="156" t="str">
        <f t="shared" ref="A210" si="257">B208&amp;"3"</f>
        <v>Adriano Panatta3</v>
      </c>
      <c r="B210" s="189"/>
      <c r="C210" s="156" t="s">
        <v>4</v>
      </c>
      <c r="D210" s="4"/>
      <c r="E210" s="3">
        <v>-80</v>
      </c>
      <c r="F210" s="3">
        <v>59</v>
      </c>
      <c r="G210" s="3">
        <v>24</v>
      </c>
      <c r="H210" s="4"/>
      <c r="I210" s="3">
        <v>92</v>
      </c>
      <c r="J210" s="3">
        <v>55</v>
      </c>
      <c r="K210" s="3">
        <v>-77</v>
      </c>
      <c r="L210" s="3">
        <v>-27</v>
      </c>
      <c r="M210" s="4"/>
      <c r="N210" s="5">
        <v>51</v>
      </c>
      <c r="O210" s="3">
        <v>81</v>
      </c>
      <c r="P210" s="4"/>
      <c r="Q210" s="4"/>
      <c r="R210" s="4"/>
      <c r="S210" s="4"/>
      <c r="AA210" s="156">
        <f>SUM(D210:Z210)</f>
        <v>178</v>
      </c>
      <c r="AB210" s="156">
        <f>COUNT(D210:Z210)</f>
        <v>9</v>
      </c>
    </row>
    <row r="211" spans="1:28" s="156" customFormat="1" ht="16" customHeight="1" x14ac:dyDescent="0.2">
      <c r="A211" s="156" t="str">
        <f t="shared" ref="A211" si="258">B208&amp;"4"</f>
        <v>Adriano Panatta4</v>
      </c>
      <c r="B211" s="189"/>
      <c r="C211" s="156" t="s">
        <v>5</v>
      </c>
      <c r="D211" s="4"/>
      <c r="E211" s="4"/>
      <c r="F211" s="4"/>
      <c r="G211" s="3">
        <v>-17</v>
      </c>
      <c r="H211" s="3">
        <v>-68</v>
      </c>
      <c r="I211" s="4"/>
      <c r="J211" s="4"/>
      <c r="K211" s="3">
        <v>-71</v>
      </c>
      <c r="L211" s="3">
        <v>8</v>
      </c>
      <c r="M211" s="3">
        <v>110</v>
      </c>
      <c r="N211" s="3">
        <v>-89</v>
      </c>
      <c r="O211" s="4"/>
      <c r="P211" s="3">
        <v>-1</v>
      </c>
      <c r="Q211" s="4"/>
      <c r="R211" s="4"/>
      <c r="S211" s="4"/>
      <c r="AA211" s="156">
        <f>SUM(D211:Z211)</f>
        <v>-128</v>
      </c>
      <c r="AB211" s="156">
        <f>COUNT(D211:Z211)</f>
        <v>7</v>
      </c>
    </row>
    <row r="212" spans="1:28" s="156" customFormat="1" ht="16" customHeight="1" x14ac:dyDescent="0.2">
      <c r="A212" s="156" t="str">
        <f t="shared" ref="A212" si="259">B208&amp;"5"</f>
        <v>Adriano Panatta5</v>
      </c>
      <c r="B212" s="189"/>
      <c r="C212" s="156">
        <f>SUM(D212:Z212)</f>
        <v>1077</v>
      </c>
      <c r="D212" s="156">
        <f t="shared" ref="D212:Z212" si="260">SUM(D208:D211)</f>
        <v>-160</v>
      </c>
      <c r="E212" s="156">
        <f t="shared" si="260"/>
        <v>-1</v>
      </c>
      <c r="F212" s="156">
        <f t="shared" si="260"/>
        <v>0</v>
      </c>
      <c r="G212" s="156">
        <f t="shared" si="260"/>
        <v>178</v>
      </c>
      <c r="H212" s="156">
        <f t="shared" si="260"/>
        <v>219</v>
      </c>
      <c r="I212" s="156">
        <f t="shared" si="260"/>
        <v>79</v>
      </c>
      <c r="J212" s="156">
        <f t="shared" si="260"/>
        <v>291</v>
      </c>
      <c r="K212" s="156">
        <f t="shared" si="260"/>
        <v>301</v>
      </c>
      <c r="L212" s="156">
        <f t="shared" si="260"/>
        <v>59</v>
      </c>
      <c r="M212" s="156">
        <f t="shared" si="260"/>
        <v>78</v>
      </c>
      <c r="N212" s="156">
        <f t="shared" si="260"/>
        <v>-36</v>
      </c>
      <c r="O212" s="156">
        <f t="shared" si="260"/>
        <v>78</v>
      </c>
      <c r="P212" s="156">
        <f t="shared" si="260"/>
        <v>16</v>
      </c>
      <c r="Q212" s="156">
        <f t="shared" si="260"/>
        <v>-25</v>
      </c>
      <c r="R212" s="156">
        <f t="shared" si="260"/>
        <v>0</v>
      </c>
      <c r="S212" s="156">
        <f t="shared" si="260"/>
        <v>0</v>
      </c>
      <c r="T212" s="156">
        <f t="shared" si="260"/>
        <v>0</v>
      </c>
      <c r="U212" s="156">
        <f t="shared" si="260"/>
        <v>0</v>
      </c>
      <c r="V212" s="156">
        <f t="shared" si="260"/>
        <v>0</v>
      </c>
      <c r="W212" s="156">
        <f t="shared" si="260"/>
        <v>0</v>
      </c>
      <c r="X212" s="156">
        <f t="shared" si="260"/>
        <v>0</v>
      </c>
      <c r="Y212" s="156">
        <f t="shared" si="260"/>
        <v>0</v>
      </c>
      <c r="Z212" s="156">
        <f t="shared" si="260"/>
        <v>0</v>
      </c>
    </row>
    <row r="213" spans="1:28" s="159" customFormat="1" ht="16" customHeight="1" x14ac:dyDescent="0.2">
      <c r="A213" s="159" t="str">
        <f t="shared" ref="A213" si="261">B213&amp;"1"</f>
        <v>Roscoe Tanner1</v>
      </c>
      <c r="B213" s="189" t="s">
        <v>169</v>
      </c>
      <c r="C213" s="159" t="s">
        <v>2</v>
      </c>
      <c r="D213" s="4"/>
      <c r="E213" s="4"/>
      <c r="F213" s="4"/>
      <c r="G213" s="4"/>
      <c r="H213" s="4"/>
      <c r="I213" s="4"/>
      <c r="J213" s="4"/>
      <c r="K213" s="4"/>
      <c r="L213" s="6">
        <v>378</v>
      </c>
      <c r="M213" s="3">
        <v>-45</v>
      </c>
      <c r="N213" s="4"/>
      <c r="O213" s="4"/>
      <c r="P213" s="3">
        <v>-87</v>
      </c>
      <c r="Q213" s="4"/>
      <c r="R213" s="3">
        <v>33</v>
      </c>
      <c r="S213" s="4"/>
      <c r="AA213" s="159">
        <f>SUM(D213:Z213)</f>
        <v>279</v>
      </c>
      <c r="AB213" s="159">
        <f>COUNT(D213:Z213)</f>
        <v>4</v>
      </c>
    </row>
    <row r="214" spans="1:28" s="159" customFormat="1" ht="16" customHeight="1" x14ac:dyDescent="0.2">
      <c r="A214" s="159" t="str">
        <f t="shared" ref="A214" si="262">B213&amp;"2"</f>
        <v>Roscoe Tanner2</v>
      </c>
      <c r="B214" s="189"/>
      <c r="C214" s="159" t="s">
        <v>3</v>
      </c>
      <c r="D214" s="4"/>
      <c r="E214" s="4"/>
      <c r="F214" s="4"/>
      <c r="G214" s="4"/>
      <c r="H214" s="4"/>
      <c r="I214" s="3">
        <v>-75</v>
      </c>
      <c r="J214" s="3">
        <v>-69</v>
      </c>
      <c r="K214" s="4"/>
      <c r="L214" s="4"/>
      <c r="M214" s="3">
        <v>46</v>
      </c>
      <c r="N214" s="4"/>
      <c r="O214" s="4"/>
      <c r="P214" s="4"/>
      <c r="Q214" s="4"/>
      <c r="R214" s="4"/>
      <c r="S214" s="4"/>
      <c r="AA214" s="159">
        <f>SUM(D214:Z214)</f>
        <v>-98</v>
      </c>
      <c r="AB214" s="159">
        <f>COUNT(D214:Z214)</f>
        <v>3</v>
      </c>
    </row>
    <row r="215" spans="1:28" s="159" customFormat="1" ht="16" customHeight="1" x14ac:dyDescent="0.2">
      <c r="A215" s="159" t="str">
        <f t="shared" ref="A215" si="263">B213&amp;"3"</f>
        <v>Roscoe Tanner3</v>
      </c>
      <c r="B215" s="189"/>
      <c r="C215" s="159" t="s">
        <v>4</v>
      </c>
      <c r="D215" s="4"/>
      <c r="E215" s="4"/>
      <c r="F215" s="4"/>
      <c r="G215" s="3">
        <v>5</v>
      </c>
      <c r="H215" s="4"/>
      <c r="I215" s="3">
        <v>147</v>
      </c>
      <c r="J215" s="8">
        <v>223</v>
      </c>
      <c r="K215" s="8">
        <v>159</v>
      </c>
      <c r="L215" s="3">
        <v>-70</v>
      </c>
      <c r="M215" s="3">
        <v>51</v>
      </c>
      <c r="N215" s="7">
        <v>331</v>
      </c>
      <c r="O215" s="5">
        <v>61</v>
      </c>
      <c r="P215" s="3">
        <v>-21</v>
      </c>
      <c r="Q215" s="3">
        <v>91</v>
      </c>
      <c r="R215" s="5">
        <v>233</v>
      </c>
      <c r="S215" s="4"/>
      <c r="AA215" s="159">
        <f>SUM(D215:Z215)</f>
        <v>1210</v>
      </c>
      <c r="AB215" s="159">
        <f>COUNT(D215:Z215)</f>
        <v>11</v>
      </c>
    </row>
    <row r="216" spans="1:28" s="159" customFormat="1" ht="16" customHeight="1" x14ac:dyDescent="0.2">
      <c r="A216" s="159" t="str">
        <f t="shared" ref="A216" si="264">B213&amp;"4"</f>
        <v>Roscoe Tanner4</v>
      </c>
      <c r="B216" s="189"/>
      <c r="C216" s="159" t="s">
        <v>5</v>
      </c>
      <c r="D216" s="3">
        <v>-15</v>
      </c>
      <c r="E216" s="3">
        <v>-7</v>
      </c>
      <c r="F216" s="3">
        <v>12</v>
      </c>
      <c r="G216" s="5">
        <v>253</v>
      </c>
      <c r="H216" s="3">
        <v>110</v>
      </c>
      <c r="I216" s="8">
        <v>338</v>
      </c>
      <c r="J216" s="3">
        <v>33</v>
      </c>
      <c r="K216" s="3">
        <v>25</v>
      </c>
      <c r="L216" s="3">
        <v>40</v>
      </c>
      <c r="M216" s="3">
        <v>33</v>
      </c>
      <c r="N216" s="8">
        <v>284</v>
      </c>
      <c r="O216" s="5">
        <v>84</v>
      </c>
      <c r="P216" s="5">
        <v>152</v>
      </c>
      <c r="Q216" s="3">
        <v>-26</v>
      </c>
      <c r="R216" s="3">
        <v>123</v>
      </c>
      <c r="S216" s="3">
        <v>-99</v>
      </c>
      <c r="AA216" s="159">
        <f>SUM(D216:Z216)</f>
        <v>1340</v>
      </c>
      <c r="AB216" s="159">
        <f>COUNT(D216:Z216)</f>
        <v>16</v>
      </c>
    </row>
    <row r="217" spans="1:28" s="159" customFormat="1" ht="16" customHeight="1" x14ac:dyDescent="0.2">
      <c r="A217" s="159" t="str">
        <f t="shared" ref="A217" si="265">B213&amp;"5"</f>
        <v>Roscoe Tanner5</v>
      </c>
      <c r="B217" s="189"/>
      <c r="C217" s="159">
        <f>SUM(D217:Z217)</f>
        <v>2731</v>
      </c>
      <c r="D217" s="159">
        <f t="shared" ref="D217:Z217" si="266">SUM(D213:D216)</f>
        <v>-15</v>
      </c>
      <c r="E217" s="159">
        <f t="shared" si="266"/>
        <v>-7</v>
      </c>
      <c r="F217" s="159">
        <f t="shared" si="266"/>
        <v>12</v>
      </c>
      <c r="G217" s="159">
        <f t="shared" si="266"/>
        <v>258</v>
      </c>
      <c r="H217" s="159">
        <f t="shared" si="266"/>
        <v>110</v>
      </c>
      <c r="I217" s="159">
        <f t="shared" si="266"/>
        <v>410</v>
      </c>
      <c r="J217" s="159">
        <f t="shared" si="266"/>
        <v>187</v>
      </c>
      <c r="K217" s="159">
        <f t="shared" si="266"/>
        <v>184</v>
      </c>
      <c r="L217" s="159">
        <f t="shared" si="266"/>
        <v>348</v>
      </c>
      <c r="M217" s="159">
        <f t="shared" si="266"/>
        <v>85</v>
      </c>
      <c r="N217" s="159">
        <f t="shared" si="266"/>
        <v>615</v>
      </c>
      <c r="O217" s="159">
        <f t="shared" si="266"/>
        <v>145</v>
      </c>
      <c r="P217" s="159">
        <f t="shared" si="266"/>
        <v>44</v>
      </c>
      <c r="Q217" s="159">
        <f t="shared" si="266"/>
        <v>65</v>
      </c>
      <c r="R217" s="159">
        <f t="shared" si="266"/>
        <v>389</v>
      </c>
      <c r="S217" s="159">
        <f t="shared" si="266"/>
        <v>-99</v>
      </c>
      <c r="T217" s="159">
        <f t="shared" si="266"/>
        <v>0</v>
      </c>
      <c r="U217" s="159">
        <f t="shared" si="266"/>
        <v>0</v>
      </c>
      <c r="V217" s="159">
        <f t="shared" si="266"/>
        <v>0</v>
      </c>
      <c r="W217" s="159">
        <f t="shared" si="266"/>
        <v>0</v>
      </c>
      <c r="X217" s="159">
        <f t="shared" si="266"/>
        <v>0</v>
      </c>
      <c r="Y217" s="159">
        <f t="shared" si="266"/>
        <v>0</v>
      </c>
      <c r="Z217" s="159">
        <f t="shared" si="266"/>
        <v>0</v>
      </c>
    </row>
    <row r="218" spans="1:28" s="163" customFormat="1" ht="16" customHeight="1" x14ac:dyDescent="0.2">
      <c r="A218" s="163" t="str">
        <f t="shared" ref="A218" si="267">B218&amp;"1"</f>
        <v>Vitas Gerulaitis1</v>
      </c>
      <c r="B218" s="189" t="s">
        <v>170</v>
      </c>
      <c r="C218" s="163" t="s">
        <v>2</v>
      </c>
      <c r="D218" s="4"/>
      <c r="E218" s="4"/>
      <c r="F218" s="4"/>
      <c r="G218" s="4"/>
      <c r="H218" s="4"/>
      <c r="I218" s="4"/>
      <c r="J218" s="6">
        <v>218</v>
      </c>
      <c r="K218" s="4"/>
      <c r="L218" s="4"/>
      <c r="M218" s="3">
        <v>-99</v>
      </c>
      <c r="N218" s="4"/>
      <c r="O218" s="4"/>
      <c r="P218" s="3">
        <v>-66</v>
      </c>
      <c r="Q218" s="3">
        <v>-62</v>
      </c>
      <c r="R218" s="4"/>
      <c r="S218" s="4"/>
      <c r="AA218" s="163">
        <f>SUM(D218:Z218)</f>
        <v>-9</v>
      </c>
      <c r="AB218" s="163">
        <f>COUNT(D218:Z218)</f>
        <v>4</v>
      </c>
    </row>
    <row r="219" spans="1:28" s="163" customFormat="1" ht="16" customHeight="1" x14ac:dyDescent="0.2">
      <c r="A219" s="163" t="str">
        <f t="shared" ref="A219" si="268">B218&amp;"2"</f>
        <v>Vitas Gerulaitis2</v>
      </c>
      <c r="B219" s="189"/>
      <c r="C219" s="163" t="s">
        <v>3</v>
      </c>
      <c r="D219" s="4"/>
      <c r="E219" s="4"/>
      <c r="F219" s="4"/>
      <c r="G219" s="4"/>
      <c r="H219" s="4"/>
      <c r="I219" s="4"/>
      <c r="J219" s="4"/>
      <c r="K219" s="4"/>
      <c r="L219" s="8">
        <v>299</v>
      </c>
      <c r="M219" s="7">
        <v>247</v>
      </c>
      <c r="N219" s="3">
        <v>-59</v>
      </c>
      <c r="O219" s="5">
        <v>160</v>
      </c>
      <c r="P219" s="3">
        <v>-79</v>
      </c>
      <c r="Q219" s="3">
        <v>-98</v>
      </c>
      <c r="R219" s="3">
        <v>-30</v>
      </c>
      <c r="S219" s="4"/>
      <c r="AA219" s="163">
        <f>SUM(D219:Z219)</f>
        <v>440</v>
      </c>
      <c r="AB219" s="163">
        <f>COUNT(D219:Z219)</f>
        <v>7</v>
      </c>
    </row>
    <row r="220" spans="1:28" s="163" customFormat="1" ht="16" customHeight="1" x14ac:dyDescent="0.2">
      <c r="A220" s="163" t="str">
        <f t="shared" ref="A220" si="269">B218&amp;"3"</f>
        <v>Vitas Gerulaitis3</v>
      </c>
      <c r="B220" s="189"/>
      <c r="C220" s="163" t="s">
        <v>4</v>
      </c>
      <c r="D220" s="4"/>
      <c r="E220" s="4"/>
      <c r="F220" s="4"/>
      <c r="G220" s="3">
        <v>-47</v>
      </c>
      <c r="H220" s="3">
        <v>-71</v>
      </c>
      <c r="I220" s="5">
        <v>146</v>
      </c>
      <c r="J220" s="8">
        <v>207</v>
      </c>
      <c r="K220" s="8">
        <v>230</v>
      </c>
      <c r="L220" s="3">
        <v>-37</v>
      </c>
      <c r="M220" s="3">
        <v>30</v>
      </c>
      <c r="N220" s="3">
        <v>131</v>
      </c>
      <c r="O220" s="5">
        <v>160</v>
      </c>
      <c r="P220" s="3">
        <v>8</v>
      </c>
      <c r="Q220" s="3">
        <v>44</v>
      </c>
      <c r="R220" s="3">
        <v>65</v>
      </c>
      <c r="S220" s="4"/>
      <c r="AA220" s="163">
        <f>SUM(D220:Z220)</f>
        <v>866</v>
      </c>
      <c r="AB220" s="163">
        <f>COUNT(D220:Z220)</f>
        <v>12</v>
      </c>
    </row>
    <row r="221" spans="1:28" s="163" customFormat="1" ht="16" customHeight="1" x14ac:dyDescent="0.2">
      <c r="A221" s="163" t="str">
        <f t="shared" ref="A221" si="270">B218&amp;"4"</f>
        <v>Vitas Gerulaitis4</v>
      </c>
      <c r="B221" s="189"/>
      <c r="C221" s="163" t="s">
        <v>5</v>
      </c>
      <c r="D221" s="3">
        <v>-80</v>
      </c>
      <c r="E221" s="3">
        <v>18</v>
      </c>
      <c r="F221" s="3">
        <v>-32</v>
      </c>
      <c r="G221" s="3">
        <v>-7</v>
      </c>
      <c r="H221" s="3">
        <v>-46</v>
      </c>
      <c r="I221" s="3">
        <v>54</v>
      </c>
      <c r="J221" s="3">
        <v>38</v>
      </c>
      <c r="K221" s="8">
        <v>190</v>
      </c>
      <c r="L221" s="7">
        <v>390</v>
      </c>
      <c r="M221" s="3">
        <v>13</v>
      </c>
      <c r="N221" s="8">
        <v>275</v>
      </c>
      <c r="O221" s="3">
        <v>-50</v>
      </c>
      <c r="P221" s="3">
        <v>-10</v>
      </c>
      <c r="Q221" s="3">
        <v>38</v>
      </c>
      <c r="R221" s="3">
        <v>6</v>
      </c>
      <c r="S221" s="4"/>
      <c r="AA221" s="163">
        <f>SUM(D221:Z221)</f>
        <v>797</v>
      </c>
      <c r="AB221" s="163">
        <f>COUNT(D221:Z221)</f>
        <v>15</v>
      </c>
    </row>
    <row r="222" spans="1:28" s="163" customFormat="1" ht="16" customHeight="1" x14ac:dyDescent="0.2">
      <c r="A222" s="163" t="str">
        <f t="shared" ref="A222" si="271">B218&amp;"5"</f>
        <v>Vitas Gerulaitis5</v>
      </c>
      <c r="B222" s="189"/>
      <c r="C222" s="163">
        <f>SUM(D222:Z222)</f>
        <v>2094</v>
      </c>
      <c r="D222" s="163">
        <f t="shared" ref="D222:Z222" si="272">SUM(D218:D221)</f>
        <v>-80</v>
      </c>
      <c r="E222" s="163">
        <f t="shared" si="272"/>
        <v>18</v>
      </c>
      <c r="F222" s="163">
        <f t="shared" si="272"/>
        <v>-32</v>
      </c>
      <c r="G222" s="163">
        <f t="shared" si="272"/>
        <v>-54</v>
      </c>
      <c r="H222" s="163">
        <f t="shared" si="272"/>
        <v>-117</v>
      </c>
      <c r="I222" s="163">
        <f t="shared" si="272"/>
        <v>200</v>
      </c>
      <c r="J222" s="163">
        <f t="shared" si="272"/>
        <v>463</v>
      </c>
      <c r="K222" s="163">
        <f t="shared" si="272"/>
        <v>420</v>
      </c>
      <c r="L222" s="163">
        <f t="shared" si="272"/>
        <v>652</v>
      </c>
      <c r="M222" s="163">
        <f t="shared" si="272"/>
        <v>191</v>
      </c>
      <c r="N222" s="163">
        <f t="shared" si="272"/>
        <v>347</v>
      </c>
      <c r="O222" s="163">
        <f t="shared" si="272"/>
        <v>270</v>
      </c>
      <c r="P222" s="163">
        <f t="shared" si="272"/>
        <v>-147</v>
      </c>
      <c r="Q222" s="163">
        <f t="shared" si="272"/>
        <v>-78</v>
      </c>
      <c r="R222" s="163">
        <f t="shared" si="272"/>
        <v>41</v>
      </c>
      <c r="S222" s="163">
        <f t="shared" si="272"/>
        <v>0</v>
      </c>
      <c r="T222" s="163">
        <f t="shared" si="272"/>
        <v>0</v>
      </c>
      <c r="U222" s="163">
        <f t="shared" si="272"/>
        <v>0</v>
      </c>
      <c r="V222" s="163">
        <f t="shared" si="272"/>
        <v>0</v>
      </c>
      <c r="W222" s="163">
        <f t="shared" si="272"/>
        <v>0</v>
      </c>
      <c r="X222" s="163">
        <f t="shared" si="272"/>
        <v>0</v>
      </c>
      <c r="Y222" s="163">
        <f t="shared" si="272"/>
        <v>0</v>
      </c>
      <c r="Z222" s="163">
        <f t="shared" si="272"/>
        <v>0</v>
      </c>
    </row>
    <row r="223" spans="1:28" s="167" customFormat="1" ht="16" customHeight="1" x14ac:dyDescent="0.2">
      <c r="A223" s="167" t="str">
        <f t="shared" ref="A223" si="273">B223&amp;"1"</f>
        <v>Brian Teacher1</v>
      </c>
      <c r="B223" s="189" t="s">
        <v>171</v>
      </c>
      <c r="C223" s="167" t="s">
        <v>2</v>
      </c>
      <c r="D223" s="4"/>
      <c r="E223" s="4"/>
      <c r="F223" s="4"/>
      <c r="G223" s="4"/>
      <c r="H223" s="3">
        <v>-2</v>
      </c>
      <c r="I223" s="4"/>
      <c r="J223" s="4"/>
      <c r="K223" s="6">
        <v>333</v>
      </c>
      <c r="L223" s="4"/>
      <c r="M223" s="5">
        <v>94</v>
      </c>
      <c r="N223" s="3">
        <v>-13</v>
      </c>
      <c r="O223" s="4"/>
      <c r="P223" s="4"/>
      <c r="Q223" s="4"/>
      <c r="R223" s="4"/>
      <c r="S223" s="4"/>
      <c r="AA223" s="167">
        <f>SUM(D223:Z223)</f>
        <v>412</v>
      </c>
      <c r="AB223" s="167">
        <f>COUNT(D223:Z223)</f>
        <v>4</v>
      </c>
    </row>
    <row r="224" spans="1:28" s="167" customFormat="1" ht="16" customHeight="1" x14ac:dyDescent="0.2">
      <c r="A224" s="167" t="str">
        <f t="shared" ref="A224" si="274">B223&amp;"2"</f>
        <v>Brian Teacher2</v>
      </c>
      <c r="B224" s="189"/>
      <c r="C224" s="167" t="s">
        <v>3</v>
      </c>
      <c r="D224" s="4"/>
      <c r="E224" s="4"/>
      <c r="F224" s="4"/>
      <c r="G224" s="4"/>
      <c r="H224" s="3">
        <v>-98</v>
      </c>
      <c r="I224" s="3">
        <v>102</v>
      </c>
      <c r="J224" s="3">
        <v>-98</v>
      </c>
      <c r="K224" s="4"/>
      <c r="L224" s="4"/>
      <c r="M224" s="4"/>
      <c r="N224" s="4"/>
      <c r="O224" s="4"/>
      <c r="P224" s="4"/>
      <c r="Q224" s="4"/>
      <c r="R224" s="4"/>
      <c r="S224" s="4"/>
      <c r="AA224" s="167">
        <f>SUM(D224:Z224)</f>
        <v>-94</v>
      </c>
      <c r="AB224" s="167">
        <f>COUNT(D224:Z224)</f>
        <v>3</v>
      </c>
    </row>
    <row r="225" spans="1:28" s="167" customFormat="1" ht="16" customHeight="1" x14ac:dyDescent="0.2">
      <c r="A225" s="167" t="str">
        <f t="shared" ref="A225" si="275">B223&amp;"3"</f>
        <v>Brian Teacher3</v>
      </c>
      <c r="B225" s="189"/>
      <c r="C225" s="167" t="s">
        <v>4</v>
      </c>
      <c r="D225" s="4"/>
      <c r="E225" s="4"/>
      <c r="F225" s="4"/>
      <c r="G225" s="3">
        <v>-98</v>
      </c>
      <c r="H225" s="3">
        <v>-41</v>
      </c>
      <c r="I225" s="3">
        <v>61</v>
      </c>
      <c r="J225" s="3">
        <v>114</v>
      </c>
      <c r="K225" s="3">
        <v>-69</v>
      </c>
      <c r="L225" s="3">
        <v>-27</v>
      </c>
      <c r="M225" s="5">
        <v>203</v>
      </c>
      <c r="N225" s="3">
        <v>128</v>
      </c>
      <c r="O225" s="3">
        <v>-89</v>
      </c>
      <c r="P225" s="3">
        <v>-56</v>
      </c>
      <c r="Q225" s="3">
        <v>-3</v>
      </c>
      <c r="R225" s="4"/>
      <c r="S225" s="4"/>
      <c r="AA225" s="167">
        <f>SUM(D225:Z225)</f>
        <v>123</v>
      </c>
      <c r="AB225" s="167">
        <f>COUNT(D225:Z225)</f>
        <v>11</v>
      </c>
    </row>
    <row r="226" spans="1:28" s="167" customFormat="1" ht="16" customHeight="1" x14ac:dyDescent="0.2">
      <c r="A226" s="167" t="str">
        <f t="shared" ref="A226" si="276">B223&amp;"4"</f>
        <v>Brian Teacher4</v>
      </c>
      <c r="B226" s="189"/>
      <c r="C226" s="167" t="s">
        <v>5</v>
      </c>
      <c r="D226" s="3">
        <v>-15</v>
      </c>
      <c r="E226" s="3">
        <v>94</v>
      </c>
      <c r="F226" s="3">
        <v>-99</v>
      </c>
      <c r="G226" s="3">
        <v>-86</v>
      </c>
      <c r="H226" s="3">
        <v>-35</v>
      </c>
      <c r="I226" s="3">
        <v>70</v>
      </c>
      <c r="J226" s="3">
        <v>-99</v>
      </c>
      <c r="K226" s="3">
        <v>166</v>
      </c>
      <c r="L226" s="3">
        <v>-34</v>
      </c>
      <c r="M226" s="3">
        <v>-35</v>
      </c>
      <c r="N226" s="3">
        <v>-79</v>
      </c>
      <c r="O226" s="3">
        <v>-2</v>
      </c>
      <c r="P226" s="3">
        <v>-13</v>
      </c>
      <c r="Q226" s="3">
        <v>-69</v>
      </c>
      <c r="R226" s="4"/>
      <c r="S226" s="4"/>
      <c r="AA226" s="167">
        <f>SUM(D226:Z226)</f>
        <v>-236</v>
      </c>
      <c r="AB226" s="167">
        <f>COUNT(D226:Z226)</f>
        <v>14</v>
      </c>
    </row>
    <row r="227" spans="1:28" s="167" customFormat="1" ht="16" customHeight="1" x14ac:dyDescent="0.2">
      <c r="A227" s="167" t="str">
        <f t="shared" ref="A227" si="277">B223&amp;"5"</f>
        <v>Brian Teacher5</v>
      </c>
      <c r="B227" s="189"/>
      <c r="C227" s="167">
        <f>SUM(D227:Z227)</f>
        <v>205</v>
      </c>
      <c r="D227" s="167">
        <f t="shared" ref="D227:Z227" si="278">SUM(D223:D226)</f>
        <v>-15</v>
      </c>
      <c r="E227" s="167">
        <f t="shared" si="278"/>
        <v>94</v>
      </c>
      <c r="F227" s="167">
        <f t="shared" si="278"/>
        <v>-99</v>
      </c>
      <c r="G227" s="167">
        <f t="shared" si="278"/>
        <v>-184</v>
      </c>
      <c r="H227" s="167">
        <f t="shared" si="278"/>
        <v>-176</v>
      </c>
      <c r="I227" s="167">
        <f t="shared" si="278"/>
        <v>233</v>
      </c>
      <c r="J227" s="167">
        <f t="shared" si="278"/>
        <v>-83</v>
      </c>
      <c r="K227" s="167">
        <f t="shared" si="278"/>
        <v>430</v>
      </c>
      <c r="L227" s="167">
        <f t="shared" si="278"/>
        <v>-61</v>
      </c>
      <c r="M227" s="167">
        <f t="shared" si="278"/>
        <v>262</v>
      </c>
      <c r="N227" s="167">
        <f t="shared" si="278"/>
        <v>36</v>
      </c>
      <c r="O227" s="167">
        <f t="shared" si="278"/>
        <v>-91</v>
      </c>
      <c r="P227" s="167">
        <f t="shared" si="278"/>
        <v>-69</v>
      </c>
      <c r="Q227" s="167">
        <f t="shared" si="278"/>
        <v>-72</v>
      </c>
      <c r="R227" s="167">
        <f t="shared" si="278"/>
        <v>0</v>
      </c>
      <c r="S227" s="167">
        <f t="shared" si="278"/>
        <v>0</v>
      </c>
      <c r="T227" s="167">
        <f t="shared" si="278"/>
        <v>0</v>
      </c>
      <c r="U227" s="167">
        <f t="shared" si="278"/>
        <v>0</v>
      </c>
      <c r="V227" s="167">
        <f t="shared" si="278"/>
        <v>0</v>
      </c>
      <c r="W227" s="167">
        <f t="shared" si="278"/>
        <v>0</v>
      </c>
      <c r="X227" s="167">
        <f t="shared" si="278"/>
        <v>0</v>
      </c>
      <c r="Y227" s="167">
        <f t="shared" si="278"/>
        <v>0</v>
      </c>
      <c r="Z227" s="167">
        <f t="shared" si="278"/>
        <v>0</v>
      </c>
    </row>
    <row r="228" spans="1:28" s="170" customFormat="1" ht="16" customHeight="1" x14ac:dyDescent="0.2">
      <c r="A228" s="170" t="str">
        <f t="shared" ref="A228" si="279">B228&amp;"1"</f>
        <v>Yannick Noah1</v>
      </c>
      <c r="B228" s="189" t="s">
        <v>172</v>
      </c>
      <c r="C228" s="170" t="s">
        <v>2</v>
      </c>
      <c r="D228" s="4"/>
      <c r="E228" s="3">
        <v>-74</v>
      </c>
      <c r="F228" s="4"/>
      <c r="G228" s="3">
        <v>-36</v>
      </c>
      <c r="H228" s="4"/>
      <c r="I228" s="4"/>
      <c r="J228" s="4"/>
      <c r="K228" s="4"/>
      <c r="L228" s="4"/>
      <c r="M228" s="4"/>
      <c r="N228" s="5">
        <v>107</v>
      </c>
      <c r="O228" s="3">
        <v>-37</v>
      </c>
      <c r="P228" s="3">
        <v>-62</v>
      </c>
      <c r="Q228" s="8">
        <v>265</v>
      </c>
      <c r="R228" s="4"/>
      <c r="S228" s="4"/>
      <c r="AA228" s="170">
        <f>SUM(D228:Z228)</f>
        <v>163</v>
      </c>
      <c r="AB228" s="170">
        <f>COUNT(D228:Z228)</f>
        <v>6</v>
      </c>
    </row>
    <row r="229" spans="1:28" s="170" customFormat="1" ht="16" customHeight="1" x14ac:dyDescent="0.2">
      <c r="A229" s="170" t="str">
        <f t="shared" ref="A229" si="280">B228&amp;"2"</f>
        <v>Yannick Noah2</v>
      </c>
      <c r="B229" s="189"/>
      <c r="C229" s="170" t="s">
        <v>3</v>
      </c>
      <c r="D229" s="3">
        <v>-39</v>
      </c>
      <c r="E229" s="3">
        <v>0</v>
      </c>
      <c r="F229" s="3">
        <v>1</v>
      </c>
      <c r="G229" s="3">
        <v>162</v>
      </c>
      <c r="H229" s="5">
        <v>185</v>
      </c>
      <c r="I229" s="5">
        <v>107</v>
      </c>
      <c r="J229" s="6">
        <v>410</v>
      </c>
      <c r="K229" s="5">
        <v>56</v>
      </c>
      <c r="L229" s="3">
        <v>109</v>
      </c>
      <c r="M229" s="3">
        <v>46</v>
      </c>
      <c r="N229" s="5">
        <v>123</v>
      </c>
      <c r="O229" s="3">
        <v>139</v>
      </c>
      <c r="P229" s="3">
        <v>-46</v>
      </c>
      <c r="Q229" s="3">
        <v>-13</v>
      </c>
      <c r="R229" s="4"/>
      <c r="S229" s="4"/>
      <c r="AA229" s="170">
        <f>SUM(D229:Z229)</f>
        <v>1240</v>
      </c>
      <c r="AB229" s="170">
        <f>COUNT(D229:Z229)</f>
        <v>14</v>
      </c>
    </row>
    <row r="230" spans="1:28" s="170" customFormat="1" ht="16" customHeight="1" x14ac:dyDescent="0.2">
      <c r="A230" s="170" t="str">
        <f t="shared" ref="A230" si="281">B228&amp;"3"</f>
        <v>Yannick Noah3</v>
      </c>
      <c r="B230" s="189"/>
      <c r="C230" s="170" t="s">
        <v>4</v>
      </c>
      <c r="D230" s="4"/>
      <c r="E230" s="3">
        <v>-98</v>
      </c>
      <c r="F230" s="3">
        <v>-3</v>
      </c>
      <c r="G230" s="4"/>
      <c r="H230" s="3">
        <v>-99</v>
      </c>
      <c r="I230" s="4"/>
      <c r="J230" s="4"/>
      <c r="K230" s="4"/>
      <c r="L230" s="3">
        <v>36</v>
      </c>
      <c r="M230" s="4"/>
      <c r="N230" s="3">
        <v>-20</v>
      </c>
      <c r="O230" s="4"/>
      <c r="P230" s="4"/>
      <c r="Q230" s="3">
        <v>-99</v>
      </c>
      <c r="R230" s="4"/>
      <c r="S230" s="4"/>
      <c r="AA230" s="170">
        <f>SUM(D230:Z230)</f>
        <v>-283</v>
      </c>
      <c r="AB230" s="170">
        <f>COUNT(D230:Z230)</f>
        <v>6</v>
      </c>
    </row>
    <row r="231" spans="1:28" s="170" customFormat="1" ht="16" customHeight="1" x14ac:dyDescent="0.2">
      <c r="A231" s="170" t="str">
        <f t="shared" ref="A231" si="282">B228&amp;"4"</f>
        <v>Yannick Noah4</v>
      </c>
      <c r="B231" s="189"/>
      <c r="C231" s="170" t="s">
        <v>5</v>
      </c>
      <c r="D231" s="4"/>
      <c r="E231" s="3">
        <v>-62</v>
      </c>
      <c r="F231" s="3">
        <v>112</v>
      </c>
      <c r="G231" s="3">
        <v>96</v>
      </c>
      <c r="H231" s="3">
        <v>40</v>
      </c>
      <c r="I231" s="3">
        <v>91</v>
      </c>
      <c r="J231" s="5">
        <v>42</v>
      </c>
      <c r="K231" s="4"/>
      <c r="L231" s="5">
        <v>73</v>
      </c>
      <c r="M231" s="3">
        <v>7</v>
      </c>
      <c r="N231" s="4"/>
      <c r="O231" s="3">
        <v>-98</v>
      </c>
      <c r="P231" s="5">
        <v>216</v>
      </c>
      <c r="Q231" s="3">
        <v>-1</v>
      </c>
      <c r="R231" s="4"/>
      <c r="S231" s="4"/>
      <c r="AA231" s="170">
        <f>SUM(D231:Z231)</f>
        <v>516</v>
      </c>
      <c r="AB231" s="170">
        <f>COUNT(D231:Z231)</f>
        <v>11</v>
      </c>
    </row>
    <row r="232" spans="1:28" s="170" customFormat="1" ht="16" customHeight="1" x14ac:dyDescent="0.2">
      <c r="A232" s="170" t="str">
        <f t="shared" ref="A232" si="283">B228&amp;"5"</f>
        <v>Yannick Noah5</v>
      </c>
      <c r="B232" s="189"/>
      <c r="C232" s="170">
        <f>SUM(D232:Z232)</f>
        <v>1636</v>
      </c>
      <c r="D232" s="170">
        <f t="shared" ref="D232:Z232" si="284">SUM(D228:D231)</f>
        <v>-39</v>
      </c>
      <c r="E232" s="170">
        <f t="shared" si="284"/>
        <v>-234</v>
      </c>
      <c r="F232" s="170">
        <f t="shared" si="284"/>
        <v>110</v>
      </c>
      <c r="G232" s="170">
        <f t="shared" si="284"/>
        <v>222</v>
      </c>
      <c r="H232" s="170">
        <f t="shared" si="284"/>
        <v>126</v>
      </c>
      <c r="I232" s="170">
        <f t="shared" si="284"/>
        <v>198</v>
      </c>
      <c r="J232" s="170">
        <f t="shared" si="284"/>
        <v>452</v>
      </c>
      <c r="K232" s="170">
        <f t="shared" si="284"/>
        <v>56</v>
      </c>
      <c r="L232" s="170">
        <f t="shared" si="284"/>
        <v>218</v>
      </c>
      <c r="M232" s="170">
        <f t="shared" si="284"/>
        <v>53</v>
      </c>
      <c r="N232" s="170">
        <f t="shared" si="284"/>
        <v>210</v>
      </c>
      <c r="O232" s="170">
        <f t="shared" si="284"/>
        <v>4</v>
      </c>
      <c r="P232" s="170">
        <f t="shared" si="284"/>
        <v>108</v>
      </c>
      <c r="Q232" s="170">
        <f t="shared" si="284"/>
        <v>152</v>
      </c>
      <c r="R232" s="170">
        <f t="shared" si="284"/>
        <v>0</v>
      </c>
      <c r="S232" s="170">
        <f t="shared" si="284"/>
        <v>0</v>
      </c>
      <c r="T232" s="170">
        <f t="shared" si="284"/>
        <v>0</v>
      </c>
      <c r="U232" s="170">
        <f t="shared" si="284"/>
        <v>0</v>
      </c>
      <c r="V232" s="170">
        <f t="shared" si="284"/>
        <v>0</v>
      </c>
      <c r="W232" s="170">
        <f t="shared" si="284"/>
        <v>0</v>
      </c>
      <c r="X232" s="170">
        <f t="shared" si="284"/>
        <v>0</v>
      </c>
      <c r="Y232" s="170">
        <f t="shared" si="284"/>
        <v>0</v>
      </c>
      <c r="Z232" s="170">
        <f t="shared" si="284"/>
        <v>0</v>
      </c>
    </row>
    <row r="233" spans="1:28" s="173" customFormat="1" ht="16" customHeight="1" x14ac:dyDescent="0.2">
      <c r="A233" s="173" t="str">
        <f t="shared" ref="A233" si="285">B233&amp;"1"</f>
        <v>Pat Cash1</v>
      </c>
      <c r="B233" s="189" t="s">
        <v>173</v>
      </c>
      <c r="C233" s="173" t="s">
        <v>2</v>
      </c>
      <c r="D233" s="3">
        <v>-6</v>
      </c>
      <c r="E233" s="5">
        <v>106</v>
      </c>
      <c r="F233" s="3">
        <v>90</v>
      </c>
      <c r="G233" s="5">
        <v>103</v>
      </c>
      <c r="H233" s="4"/>
      <c r="I233" s="4"/>
      <c r="J233" s="7">
        <v>306</v>
      </c>
      <c r="K233" s="7">
        <v>300</v>
      </c>
      <c r="L233" s="3">
        <v>-1</v>
      </c>
      <c r="M233" s="4"/>
      <c r="N233" s="3">
        <v>108</v>
      </c>
      <c r="O233" s="3">
        <v>53</v>
      </c>
      <c r="Q233" s="4"/>
      <c r="R233" s="3">
        <v>-96</v>
      </c>
      <c r="S233" s="4"/>
      <c r="T233" s="3">
        <v>-99</v>
      </c>
      <c r="AA233" s="173">
        <f>SUM(D233:Z233)</f>
        <v>864</v>
      </c>
      <c r="AB233" s="173">
        <f>COUNT(D233:Z233)</f>
        <v>11</v>
      </c>
    </row>
    <row r="234" spans="1:28" s="173" customFormat="1" ht="16" customHeight="1" x14ac:dyDescent="0.2">
      <c r="A234" s="173" t="str">
        <f t="shared" ref="A234" si="286">B233&amp;"2"</f>
        <v>Pat Cash2</v>
      </c>
      <c r="B234" s="189"/>
      <c r="C234" s="173" t="s">
        <v>3</v>
      </c>
      <c r="D234" s="4"/>
      <c r="E234" s="4"/>
      <c r="F234" s="3">
        <v>-11</v>
      </c>
      <c r="G234" s="3">
        <v>-89</v>
      </c>
      <c r="H234" s="4"/>
      <c r="I234" s="4"/>
      <c r="J234" s="3">
        <v>-96</v>
      </c>
      <c r="K234" s="3">
        <v>30</v>
      </c>
      <c r="L234" s="4"/>
      <c r="M234" s="4"/>
      <c r="N234" s="3">
        <v>-16</v>
      </c>
      <c r="O234" s="4"/>
      <c r="P234" s="4"/>
      <c r="Q234" s="4"/>
      <c r="R234" s="4"/>
      <c r="S234" s="4"/>
      <c r="AA234" s="173">
        <f>SUM(D234:Z234)</f>
        <v>-182</v>
      </c>
      <c r="AB234" s="173">
        <f>COUNT(D234:Z234)</f>
        <v>5</v>
      </c>
    </row>
    <row r="235" spans="1:28" s="173" customFormat="1" ht="16" customHeight="1" x14ac:dyDescent="0.2">
      <c r="A235" s="173" t="str">
        <f t="shared" ref="A235" si="287">B233&amp;"3"</f>
        <v>Pat Cash3</v>
      </c>
      <c r="B235" s="189"/>
      <c r="C235" s="173" t="s">
        <v>4</v>
      </c>
      <c r="D235" s="4"/>
      <c r="E235" s="4"/>
      <c r="F235" s="3">
        <v>49</v>
      </c>
      <c r="G235" s="8">
        <v>338</v>
      </c>
      <c r="H235" s="3">
        <v>-98</v>
      </c>
      <c r="I235" s="5">
        <v>188</v>
      </c>
      <c r="J235" s="6">
        <v>441</v>
      </c>
      <c r="K235" s="5">
        <v>83</v>
      </c>
      <c r="M235" s="3">
        <v>84</v>
      </c>
      <c r="N235" s="3">
        <v>-89</v>
      </c>
      <c r="O235" s="3">
        <v>0</v>
      </c>
      <c r="P235" s="4"/>
      <c r="Q235" s="4"/>
      <c r="R235" s="3">
        <v>-99</v>
      </c>
      <c r="S235" s="4"/>
      <c r="T235" s="3">
        <v>-65</v>
      </c>
      <c r="AA235" s="173">
        <f>SUM(D235:Z235)</f>
        <v>832</v>
      </c>
      <c r="AB235" s="173">
        <f>COUNT(D235:Z235)</f>
        <v>11</v>
      </c>
    </row>
    <row r="236" spans="1:28" s="173" customFormat="1" ht="16" customHeight="1" x14ac:dyDescent="0.2">
      <c r="A236" s="173" t="str">
        <f t="shared" ref="A236" si="288">B233&amp;"4"</f>
        <v>Pat Cash4</v>
      </c>
      <c r="B236" s="189"/>
      <c r="C236" s="173" t="s">
        <v>5</v>
      </c>
      <c r="D236" s="4"/>
      <c r="E236" s="3">
        <v>-65</v>
      </c>
      <c r="F236" s="3">
        <v>-14</v>
      </c>
      <c r="G236" s="8">
        <v>206</v>
      </c>
      <c r="H236" s="4"/>
      <c r="I236" s="3">
        <v>-70</v>
      </c>
      <c r="J236" s="3">
        <v>-47</v>
      </c>
      <c r="K236" s="4"/>
      <c r="L236" s="4"/>
      <c r="M236" s="3">
        <v>106</v>
      </c>
      <c r="N236" s="4"/>
      <c r="O236" s="4"/>
      <c r="P236" s="4"/>
      <c r="Q236" s="4"/>
      <c r="R236" s="4"/>
      <c r="S236" s="3">
        <v>-92</v>
      </c>
      <c r="AA236" s="173">
        <f>SUM(D236:Z236)</f>
        <v>24</v>
      </c>
      <c r="AB236" s="173">
        <f>COUNT(D236:Z236)</f>
        <v>7</v>
      </c>
    </row>
    <row r="237" spans="1:28" s="173" customFormat="1" ht="16" customHeight="1" x14ac:dyDescent="0.2">
      <c r="A237" s="173" t="str">
        <f t="shared" ref="A237" si="289">B233&amp;"5"</f>
        <v>Pat Cash5</v>
      </c>
      <c r="B237" s="189"/>
      <c r="C237" s="173">
        <f>SUM(D237:Z237)</f>
        <v>1538</v>
      </c>
      <c r="D237" s="173">
        <f t="shared" ref="D237:Z237" si="290">SUM(D233:D236)</f>
        <v>-6</v>
      </c>
      <c r="E237" s="173">
        <f t="shared" si="290"/>
        <v>41</v>
      </c>
      <c r="F237" s="173">
        <f t="shared" si="290"/>
        <v>114</v>
      </c>
      <c r="G237" s="173">
        <f t="shared" si="290"/>
        <v>558</v>
      </c>
      <c r="H237" s="173">
        <f t="shared" si="290"/>
        <v>-98</v>
      </c>
      <c r="I237" s="173">
        <f t="shared" si="290"/>
        <v>118</v>
      </c>
      <c r="J237" s="173">
        <f t="shared" si="290"/>
        <v>604</v>
      </c>
      <c r="K237" s="173">
        <f t="shared" si="290"/>
        <v>413</v>
      </c>
      <c r="L237" s="173">
        <f t="shared" si="290"/>
        <v>-1</v>
      </c>
      <c r="M237" s="173">
        <f t="shared" si="290"/>
        <v>190</v>
      </c>
      <c r="N237" s="173">
        <f t="shared" si="290"/>
        <v>3</v>
      </c>
      <c r="O237" s="173">
        <f t="shared" si="290"/>
        <v>53</v>
      </c>
      <c r="P237" s="173">
        <f t="shared" si="290"/>
        <v>0</v>
      </c>
      <c r="Q237" s="173">
        <f t="shared" si="290"/>
        <v>0</v>
      </c>
      <c r="R237" s="173">
        <f>SUM(R233:R236)</f>
        <v>-195</v>
      </c>
      <c r="S237" s="173">
        <f t="shared" si="290"/>
        <v>-92</v>
      </c>
      <c r="T237" s="173">
        <f t="shared" si="290"/>
        <v>-164</v>
      </c>
      <c r="U237" s="173">
        <f t="shared" si="290"/>
        <v>0</v>
      </c>
      <c r="V237" s="173">
        <f t="shared" si="290"/>
        <v>0</v>
      </c>
      <c r="W237" s="173">
        <f t="shared" si="290"/>
        <v>0</v>
      </c>
      <c r="X237" s="173">
        <f t="shared" si="290"/>
        <v>0</v>
      </c>
      <c r="Y237" s="173">
        <f t="shared" si="290"/>
        <v>0</v>
      </c>
      <c r="Z237" s="173">
        <f t="shared" si="290"/>
        <v>0</v>
      </c>
    </row>
    <row r="238" spans="1:28" s="173" customFormat="1" ht="16" customHeight="1" x14ac:dyDescent="0.2">
      <c r="A238" s="173" t="str">
        <f t="shared" ref="A238" si="291">B238&amp;"1"</f>
        <v>Andres Gomez1</v>
      </c>
      <c r="B238" s="189" t="s">
        <v>174</v>
      </c>
      <c r="C238" s="173" t="s">
        <v>2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3">
        <v>-20</v>
      </c>
      <c r="P238" s="4"/>
      <c r="Q238" s="3">
        <v>-99</v>
      </c>
      <c r="R238" s="4"/>
      <c r="S238" s="4"/>
      <c r="T238" s="4"/>
      <c r="AA238" s="173">
        <f>SUM(D238:Z238)</f>
        <v>-119</v>
      </c>
      <c r="AB238" s="173">
        <f>COUNT(D238:Z238)</f>
        <v>2</v>
      </c>
    </row>
    <row r="239" spans="1:28" s="173" customFormat="1" ht="16" customHeight="1" x14ac:dyDescent="0.2">
      <c r="A239" s="173" t="str">
        <f t="shared" ref="A239" si="292">B238&amp;"2"</f>
        <v>Andres Gomez2</v>
      </c>
      <c r="B239" s="189"/>
      <c r="C239" s="173" t="s">
        <v>3</v>
      </c>
      <c r="D239" s="4"/>
      <c r="E239" s="3">
        <v>15</v>
      </c>
      <c r="F239" s="3">
        <v>-4</v>
      </c>
      <c r="G239" s="3">
        <v>25</v>
      </c>
      <c r="H239" s="3">
        <v>62</v>
      </c>
      <c r="I239" s="5">
        <v>74</v>
      </c>
      <c r="J239" s="3">
        <v>-3</v>
      </c>
      <c r="K239" s="5">
        <v>131</v>
      </c>
      <c r="L239" s="5">
        <v>185</v>
      </c>
      <c r="M239" s="3">
        <v>-29</v>
      </c>
      <c r="N239" s="3">
        <v>-7</v>
      </c>
      <c r="O239" s="6">
        <v>288</v>
      </c>
      <c r="P239" s="4"/>
      <c r="Q239" s="3">
        <v>-56</v>
      </c>
      <c r="R239" s="4"/>
      <c r="S239" s="4"/>
      <c r="T239" s="4"/>
      <c r="AA239" s="173">
        <f>SUM(D239:Z239)</f>
        <v>681</v>
      </c>
      <c r="AB239" s="173">
        <f>COUNT(D239:Z239)</f>
        <v>12</v>
      </c>
    </row>
    <row r="240" spans="1:28" s="173" customFormat="1" ht="16" customHeight="1" x14ac:dyDescent="0.2">
      <c r="A240" s="173" t="str">
        <f t="shared" ref="A240" si="293">B238&amp;"3"</f>
        <v>Andres Gomez3</v>
      </c>
      <c r="B240" s="189"/>
      <c r="C240" s="173" t="s">
        <v>4</v>
      </c>
      <c r="D240" s="4"/>
      <c r="E240" s="3">
        <v>-99</v>
      </c>
      <c r="F240" s="4"/>
      <c r="G240" s="3">
        <v>-42</v>
      </c>
      <c r="H240" s="4"/>
      <c r="I240" s="5">
        <v>-11</v>
      </c>
      <c r="J240" s="4"/>
      <c r="K240" s="3">
        <v>-85</v>
      </c>
      <c r="L240" s="3">
        <v>130</v>
      </c>
      <c r="M240" s="4"/>
      <c r="N240" s="3">
        <v>-61</v>
      </c>
      <c r="O240" s="3">
        <v>-49</v>
      </c>
      <c r="P240" s="4"/>
      <c r="Q240" s="4"/>
      <c r="R240" s="4"/>
      <c r="S240" s="4"/>
      <c r="T240" s="4"/>
      <c r="AA240" s="173">
        <f>SUM(D240:Z240)</f>
        <v>-217</v>
      </c>
      <c r="AB240" s="173">
        <f>COUNT(D240:Z240)</f>
        <v>7</v>
      </c>
    </row>
    <row r="241" spans="1:28" s="173" customFormat="1" ht="16" customHeight="1" x14ac:dyDescent="0.2">
      <c r="A241" s="173" t="str">
        <f t="shared" ref="A241" si="294">B238&amp;"4"</f>
        <v>Andres Gomez4</v>
      </c>
      <c r="B241" s="189"/>
      <c r="C241" s="173" t="s">
        <v>5</v>
      </c>
      <c r="D241" s="3">
        <v>-7</v>
      </c>
      <c r="E241" s="3">
        <v>-16</v>
      </c>
      <c r="F241" s="3">
        <v>49</v>
      </c>
      <c r="G241" s="4"/>
      <c r="H241" s="3">
        <v>84</v>
      </c>
      <c r="I241" s="5">
        <v>189</v>
      </c>
      <c r="J241" s="4"/>
      <c r="K241" s="3">
        <v>-48</v>
      </c>
      <c r="L241" s="3">
        <v>120</v>
      </c>
      <c r="M241" s="3">
        <v>-18</v>
      </c>
      <c r="N241" s="3">
        <v>-11</v>
      </c>
      <c r="O241" s="3">
        <v>-66</v>
      </c>
      <c r="P241" s="3">
        <v>-53</v>
      </c>
      <c r="Q241" s="4"/>
      <c r="R241" s="4"/>
      <c r="S241" s="4"/>
      <c r="T241" s="4"/>
      <c r="AA241" s="173">
        <f>SUM(D241:Z241)</f>
        <v>223</v>
      </c>
      <c r="AB241" s="173">
        <f>COUNT(D241:Z241)</f>
        <v>11</v>
      </c>
    </row>
    <row r="242" spans="1:28" s="173" customFormat="1" ht="16" customHeight="1" x14ac:dyDescent="0.2">
      <c r="A242" s="173" t="str">
        <f t="shared" ref="A242" si="295">B238&amp;"5"</f>
        <v>Andres Gomez5</v>
      </c>
      <c r="B242" s="189"/>
      <c r="C242" s="173">
        <f>SUM(D242:Z242)</f>
        <v>568</v>
      </c>
      <c r="D242" s="173">
        <f t="shared" ref="D242:Q242" si="296">SUM(D238:D241)</f>
        <v>-7</v>
      </c>
      <c r="E242" s="173">
        <f t="shared" si="296"/>
        <v>-100</v>
      </c>
      <c r="F242" s="173">
        <f t="shared" si="296"/>
        <v>45</v>
      </c>
      <c r="G242" s="173">
        <f t="shared" si="296"/>
        <v>-17</v>
      </c>
      <c r="H242" s="173">
        <f t="shared" si="296"/>
        <v>146</v>
      </c>
      <c r="I242" s="173">
        <f t="shared" si="296"/>
        <v>252</v>
      </c>
      <c r="J242" s="173">
        <f t="shared" si="296"/>
        <v>-3</v>
      </c>
      <c r="K242" s="173">
        <f t="shared" si="296"/>
        <v>-2</v>
      </c>
      <c r="L242" s="173">
        <f t="shared" si="296"/>
        <v>435</v>
      </c>
      <c r="M242" s="173">
        <f t="shared" si="296"/>
        <v>-47</v>
      </c>
      <c r="N242" s="173">
        <f t="shared" si="296"/>
        <v>-79</v>
      </c>
      <c r="O242" s="173">
        <f t="shared" si="296"/>
        <v>153</v>
      </c>
      <c r="P242" s="173">
        <f t="shared" si="296"/>
        <v>-53</v>
      </c>
      <c r="Q242" s="173">
        <f t="shared" si="296"/>
        <v>-155</v>
      </c>
      <c r="R242" s="173">
        <f>SUM(R238:R241)</f>
        <v>0</v>
      </c>
      <c r="S242" s="173">
        <f t="shared" ref="S242:Z242" si="297">SUM(S238:S241)</f>
        <v>0</v>
      </c>
      <c r="T242" s="173">
        <f t="shared" si="297"/>
        <v>0</v>
      </c>
      <c r="U242" s="173">
        <f t="shared" si="297"/>
        <v>0</v>
      </c>
      <c r="V242" s="173">
        <f t="shared" si="297"/>
        <v>0</v>
      </c>
      <c r="W242" s="173">
        <f t="shared" si="297"/>
        <v>0</v>
      </c>
      <c r="X242" s="173">
        <f t="shared" si="297"/>
        <v>0</v>
      </c>
      <c r="Y242" s="173">
        <f t="shared" si="297"/>
        <v>0</v>
      </c>
      <c r="Z242" s="173">
        <f t="shared" si="297"/>
        <v>0</v>
      </c>
    </row>
    <row r="243" spans="1:28" s="176" customFormat="1" ht="16" customHeight="1" x14ac:dyDescent="0.2">
      <c r="A243" s="176" t="str">
        <f t="shared" ref="A243" si="298">B243&amp;"1"</f>
        <v>Michael Stich1</v>
      </c>
      <c r="B243" s="189" t="s">
        <v>175</v>
      </c>
      <c r="C243" s="176" t="s">
        <v>2</v>
      </c>
      <c r="D243" s="4"/>
      <c r="E243" s="3">
        <v>-7</v>
      </c>
      <c r="F243" s="3">
        <v>63</v>
      </c>
      <c r="G243" s="5">
        <v>188</v>
      </c>
      <c r="H243" s="8">
        <v>196</v>
      </c>
      <c r="I243" s="3">
        <v>-26</v>
      </c>
      <c r="J243" s="3">
        <v>-6</v>
      </c>
      <c r="K243" s="4"/>
      <c r="L243" s="3">
        <v>-20</v>
      </c>
      <c r="M243" s="4"/>
      <c r="N243" s="4"/>
      <c r="O243" s="4"/>
      <c r="P243" s="4"/>
      <c r="Q243" s="4"/>
      <c r="R243" s="4"/>
      <c r="S243" s="4"/>
      <c r="T243" s="4"/>
      <c r="AA243" s="176">
        <f>SUM(D243:Z243)</f>
        <v>388</v>
      </c>
      <c r="AB243" s="176">
        <f>COUNT(D243:Z243)</f>
        <v>7</v>
      </c>
    </row>
    <row r="244" spans="1:28" s="176" customFormat="1" ht="16" customHeight="1" x14ac:dyDescent="0.2">
      <c r="A244" s="176" t="str">
        <f t="shared" ref="A244" si="299">B243&amp;"2"</f>
        <v>Michael Stich2</v>
      </c>
      <c r="B244" s="189"/>
      <c r="C244" s="176" t="s">
        <v>3</v>
      </c>
      <c r="D244" s="3">
        <v>-58</v>
      </c>
      <c r="E244" s="3">
        <v>-9</v>
      </c>
      <c r="F244" s="8">
        <v>134</v>
      </c>
      <c r="G244" s="3">
        <v>-36</v>
      </c>
      <c r="H244" s="3">
        <v>69</v>
      </c>
      <c r="I244" s="3">
        <v>31</v>
      </c>
      <c r="J244" s="3">
        <v>170</v>
      </c>
      <c r="K244" s="7">
        <v>335</v>
      </c>
      <c r="L244" s="4"/>
      <c r="M244" s="4"/>
      <c r="N244" s="4"/>
      <c r="O244" s="4"/>
      <c r="P244" s="4"/>
      <c r="Q244" s="4"/>
      <c r="R244" s="4"/>
      <c r="S244" s="4"/>
      <c r="T244" s="4"/>
      <c r="AA244" s="176">
        <f>SUM(D244:Z244)</f>
        <v>636</v>
      </c>
      <c r="AB244" s="176">
        <f>COUNT(D244:Z244)</f>
        <v>8</v>
      </c>
    </row>
    <row r="245" spans="1:28" s="176" customFormat="1" ht="16" customHeight="1" x14ac:dyDescent="0.2">
      <c r="A245" s="176" t="str">
        <f t="shared" ref="A245" si="300">B243&amp;"3"</f>
        <v>Michael Stich3</v>
      </c>
      <c r="B245" s="189"/>
      <c r="C245" s="176" t="s">
        <v>4</v>
      </c>
      <c r="D245" s="3">
        <v>-15</v>
      </c>
      <c r="E245" s="3">
        <v>33</v>
      </c>
      <c r="F245" s="6">
        <v>491</v>
      </c>
      <c r="G245" s="5">
        <v>229</v>
      </c>
      <c r="H245" s="5">
        <v>156</v>
      </c>
      <c r="I245" s="3">
        <v>-99</v>
      </c>
      <c r="J245" s="3">
        <v>-27</v>
      </c>
      <c r="K245" s="3">
        <v>85</v>
      </c>
      <c r="L245" s="8">
        <v>201</v>
      </c>
      <c r="M245" s="4"/>
      <c r="N245" s="4"/>
      <c r="O245" s="4"/>
      <c r="P245" s="4"/>
      <c r="Q245" s="4"/>
      <c r="R245" s="4"/>
      <c r="S245" s="4"/>
      <c r="T245" s="4"/>
      <c r="AA245" s="176">
        <f>SUM(D245:Z245)</f>
        <v>1054</v>
      </c>
      <c r="AB245" s="176">
        <f>COUNT(D245:Z245)</f>
        <v>9</v>
      </c>
    </row>
    <row r="246" spans="1:28" s="176" customFormat="1" ht="16" customHeight="1" x14ac:dyDescent="0.2">
      <c r="A246" s="176" t="str">
        <f t="shared" ref="A246" si="301">B243&amp;"4"</f>
        <v>Michael Stich4</v>
      </c>
      <c r="B246" s="189"/>
      <c r="C246" s="176" t="s">
        <v>5</v>
      </c>
      <c r="D246" s="3">
        <v>-99</v>
      </c>
      <c r="E246" s="3">
        <v>-2</v>
      </c>
      <c r="F246" s="5">
        <v>142</v>
      </c>
      <c r="G246" s="3">
        <v>35</v>
      </c>
      <c r="H246" s="3">
        <v>-23</v>
      </c>
      <c r="I246" s="7">
        <v>232</v>
      </c>
      <c r="J246" s="3">
        <v>-10</v>
      </c>
      <c r="K246" s="3">
        <v>-72</v>
      </c>
      <c r="L246" s="4"/>
      <c r="M246" s="4"/>
      <c r="N246" s="4"/>
      <c r="O246" s="4"/>
      <c r="P246" s="4"/>
      <c r="Q246" s="4"/>
      <c r="R246" s="4"/>
      <c r="S246" s="4"/>
      <c r="T246" s="4"/>
      <c r="AA246" s="176">
        <f>SUM(D246:Z246)</f>
        <v>203</v>
      </c>
      <c r="AB246" s="176">
        <f>COUNT(D246:Z246)</f>
        <v>8</v>
      </c>
    </row>
    <row r="247" spans="1:28" s="176" customFormat="1" ht="16" customHeight="1" x14ac:dyDescent="0.2">
      <c r="A247" s="176" t="str">
        <f t="shared" ref="A247" si="302">B243&amp;"5"</f>
        <v>Michael Stich5</v>
      </c>
      <c r="B247" s="189"/>
      <c r="C247" s="176">
        <f>SUM(D247:Z247)</f>
        <v>2281</v>
      </c>
      <c r="D247" s="176">
        <f t="shared" ref="D247:Q247" si="303">SUM(D243:D246)</f>
        <v>-172</v>
      </c>
      <c r="E247" s="176">
        <f t="shared" si="303"/>
        <v>15</v>
      </c>
      <c r="F247" s="176">
        <f t="shared" si="303"/>
        <v>830</v>
      </c>
      <c r="G247" s="176">
        <f t="shared" si="303"/>
        <v>416</v>
      </c>
      <c r="H247" s="176">
        <f t="shared" si="303"/>
        <v>398</v>
      </c>
      <c r="I247" s="176">
        <f t="shared" si="303"/>
        <v>138</v>
      </c>
      <c r="J247" s="176">
        <f t="shared" si="303"/>
        <v>127</v>
      </c>
      <c r="K247" s="176">
        <f t="shared" si="303"/>
        <v>348</v>
      </c>
      <c r="L247" s="176">
        <f t="shared" si="303"/>
        <v>181</v>
      </c>
      <c r="M247" s="176">
        <f t="shared" si="303"/>
        <v>0</v>
      </c>
      <c r="N247" s="176">
        <f t="shared" si="303"/>
        <v>0</v>
      </c>
      <c r="O247" s="176">
        <f t="shared" si="303"/>
        <v>0</v>
      </c>
      <c r="P247" s="176">
        <f t="shared" si="303"/>
        <v>0</v>
      </c>
      <c r="Q247" s="176">
        <f t="shared" si="303"/>
        <v>0</v>
      </c>
      <c r="R247" s="176">
        <f>SUM(R243:R246)</f>
        <v>0</v>
      </c>
      <c r="S247" s="176">
        <f t="shared" ref="S247:Z247" si="304">SUM(S243:S246)</f>
        <v>0</v>
      </c>
      <c r="T247" s="176">
        <f t="shared" si="304"/>
        <v>0</v>
      </c>
      <c r="U247" s="176">
        <f t="shared" si="304"/>
        <v>0</v>
      </c>
      <c r="V247" s="176">
        <f t="shared" si="304"/>
        <v>0</v>
      </c>
      <c r="W247" s="176">
        <f t="shared" si="304"/>
        <v>0</v>
      </c>
      <c r="X247" s="176">
        <f t="shared" si="304"/>
        <v>0</v>
      </c>
      <c r="Y247" s="176">
        <f t="shared" si="304"/>
        <v>0</v>
      </c>
      <c r="Z247" s="176">
        <f t="shared" si="304"/>
        <v>0</v>
      </c>
    </row>
    <row r="248" spans="1:28" s="179" customFormat="1" ht="16" customHeight="1" x14ac:dyDescent="0.2">
      <c r="A248" s="179" t="str">
        <f t="shared" ref="A248" si="305">B248&amp;"1"</f>
        <v>Jannik Sinner1</v>
      </c>
      <c r="B248" s="189" t="s">
        <v>274</v>
      </c>
      <c r="C248" s="179" t="s">
        <v>2</v>
      </c>
      <c r="D248" s="4"/>
      <c r="E248" s="3">
        <v>-66</v>
      </c>
      <c r="F248" s="3">
        <v>-11</v>
      </c>
      <c r="G248" s="5">
        <v>77</v>
      </c>
      <c r="H248" s="3">
        <v>41</v>
      </c>
      <c r="I248" s="6">
        <v>542</v>
      </c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AA248" s="179">
        <f>SUM(D248:Z248)</f>
        <v>583</v>
      </c>
      <c r="AB248" s="179">
        <f>COUNT(D248:Z248)</f>
        <v>5</v>
      </c>
    </row>
    <row r="249" spans="1:28" s="179" customFormat="1" ht="16" customHeight="1" x14ac:dyDescent="0.2">
      <c r="A249" s="179" t="str">
        <f t="shared" ref="A249" si="306">B248&amp;"2"</f>
        <v>Jannik Sinner2</v>
      </c>
      <c r="B249" s="189"/>
      <c r="C249" s="179" t="s">
        <v>3</v>
      </c>
      <c r="D249" s="4"/>
      <c r="E249" s="5">
        <v>193</v>
      </c>
      <c r="F249" s="3">
        <v>26</v>
      </c>
      <c r="G249" s="3">
        <v>45</v>
      </c>
      <c r="H249" s="3">
        <v>-78</v>
      </c>
      <c r="I249" s="8">
        <v>227</v>
      </c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AA249" s="179">
        <f>SUM(D249:Z249)</f>
        <v>413</v>
      </c>
      <c r="AB249" s="179">
        <f>COUNT(D249:Z249)</f>
        <v>5</v>
      </c>
    </row>
    <row r="250" spans="1:28" s="179" customFormat="1" ht="16" customHeight="1" x14ac:dyDescent="0.2">
      <c r="A250" s="179" t="str">
        <f t="shared" ref="A250" si="307">B248&amp;"3"</f>
        <v>Jannik Sinner3</v>
      </c>
      <c r="B250" s="189"/>
      <c r="C250" s="179" t="s">
        <v>4</v>
      </c>
      <c r="D250" s="4"/>
      <c r="E250" s="4"/>
      <c r="F250" s="3">
        <v>-48</v>
      </c>
      <c r="G250" s="5">
        <v>197</v>
      </c>
      <c r="H250" s="8">
        <v>67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AA250" s="179">
        <f>SUM(D250:Z250)</f>
        <v>216</v>
      </c>
      <c r="AB250" s="179">
        <f>COUNT(D250:Z250)</f>
        <v>3</v>
      </c>
    </row>
    <row r="251" spans="1:28" s="179" customFormat="1" ht="16" customHeight="1" x14ac:dyDescent="0.2">
      <c r="A251" s="179" t="str">
        <f t="shared" ref="A251" si="308">B248&amp;"4"</f>
        <v>Jannik Sinner4</v>
      </c>
      <c r="B251" s="189"/>
      <c r="C251" s="179" t="s">
        <v>5</v>
      </c>
      <c r="D251" s="3">
        <v>-23</v>
      </c>
      <c r="E251" s="3">
        <v>-11</v>
      </c>
      <c r="F251" s="3">
        <v>81</v>
      </c>
      <c r="G251" s="5">
        <v>73</v>
      </c>
      <c r="H251" s="3">
        <v>146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AA251" s="179">
        <f>SUM(D251:Z251)</f>
        <v>266</v>
      </c>
      <c r="AB251" s="179">
        <f>COUNT(D251:Z251)</f>
        <v>5</v>
      </c>
    </row>
    <row r="252" spans="1:28" s="179" customFormat="1" ht="16" customHeight="1" x14ac:dyDescent="0.2">
      <c r="A252" s="179" t="str">
        <f t="shared" ref="A252" si="309">B248&amp;"5"</f>
        <v>Jannik Sinner5</v>
      </c>
      <c r="B252" s="189"/>
      <c r="C252" s="179">
        <f>SUM(D252:Z252)</f>
        <v>1478</v>
      </c>
      <c r="D252" s="179">
        <f t="shared" ref="D252:Q252" si="310">SUM(D248:D251)</f>
        <v>-23</v>
      </c>
      <c r="E252" s="179">
        <f t="shared" si="310"/>
        <v>116</v>
      </c>
      <c r="F252" s="179">
        <f t="shared" si="310"/>
        <v>48</v>
      </c>
      <c r="G252" s="179">
        <f t="shared" si="310"/>
        <v>392</v>
      </c>
      <c r="H252" s="179">
        <f t="shared" si="310"/>
        <v>176</v>
      </c>
      <c r="I252" s="179">
        <f t="shared" si="310"/>
        <v>769</v>
      </c>
      <c r="J252" s="179">
        <f t="shared" si="310"/>
        <v>0</v>
      </c>
      <c r="K252" s="179">
        <f t="shared" si="310"/>
        <v>0</v>
      </c>
      <c r="L252" s="179">
        <f t="shared" si="310"/>
        <v>0</v>
      </c>
      <c r="M252" s="179">
        <f t="shared" si="310"/>
        <v>0</v>
      </c>
      <c r="N252" s="179">
        <f t="shared" si="310"/>
        <v>0</v>
      </c>
      <c r="O252" s="179">
        <f t="shared" si="310"/>
        <v>0</v>
      </c>
      <c r="P252" s="179">
        <f t="shared" si="310"/>
        <v>0</v>
      </c>
      <c r="Q252" s="179">
        <f t="shared" si="310"/>
        <v>0</v>
      </c>
      <c r="R252" s="179">
        <f>SUM(R248:R251)</f>
        <v>0</v>
      </c>
      <c r="S252" s="179">
        <f t="shared" ref="S252:Z252" si="311">SUM(S248:S251)</f>
        <v>0</v>
      </c>
      <c r="T252" s="179">
        <f t="shared" si="311"/>
        <v>0</v>
      </c>
      <c r="U252" s="179">
        <f t="shared" si="311"/>
        <v>0</v>
      </c>
      <c r="V252" s="179">
        <f t="shared" si="311"/>
        <v>0</v>
      </c>
      <c r="W252" s="179">
        <f t="shared" si="311"/>
        <v>0</v>
      </c>
      <c r="X252" s="179">
        <f t="shared" si="311"/>
        <v>0</v>
      </c>
      <c r="Y252" s="179">
        <f t="shared" si="311"/>
        <v>0</v>
      </c>
      <c r="Z252" s="179">
        <f t="shared" si="311"/>
        <v>0</v>
      </c>
    </row>
    <row r="253" spans="1:28" s="176" customFormat="1" x14ac:dyDescent="0.2">
      <c r="D253" s="176">
        <v>2019</v>
      </c>
      <c r="E253" s="176">
        <f>D253+1</f>
        <v>2020</v>
      </c>
      <c r="F253" s="176">
        <f t="shared" ref="F253" si="312">E253+1</f>
        <v>2021</v>
      </c>
      <c r="G253" s="176">
        <f t="shared" ref="G253" si="313">F253+1</f>
        <v>2022</v>
      </c>
      <c r="H253" s="176">
        <f t="shared" ref="H253" si="314">G253+1</f>
        <v>2023</v>
      </c>
      <c r="I253" s="176">
        <f t="shared" ref="I253" si="315">H253+1</f>
        <v>2024</v>
      </c>
    </row>
    <row r="254" spans="1:28" ht="17" x14ac:dyDescent="0.2">
      <c r="B254" s="189" t="s">
        <v>63</v>
      </c>
      <c r="C254" s="67" t="s">
        <v>2</v>
      </c>
      <c r="D254" s="37">
        <f>AVERAGE(D38,D33,D28,D23,D18,D13,D8,D3,D43,D48,D53,D58,D63,D68,D73,D78,D83,D88,D93,D98, D103,D108,D113,D118,D123,D128,D133,D138,D143,D148,D153,D158,D163,D168,D173,D178,D183,D188,D193,D198,D203,D208,D213,D218,D223,D228,D233,D243,D238,D248)</f>
        <v>-33</v>
      </c>
      <c r="E254" s="37">
        <f t="shared" ref="E254:AB254" si="316">AVERAGE(E38,E33,E28,E23,E18,E13,E8,E3,E43,E48,E53,E58,E63,E68,E73,E78,E83,E88,E93,E98, E103,E108,E113,E118,E123,E128,E133,E138,E143,E148,E153,E158,E163,E168,E173,E178,E183,E188,E193,E198,E203,E208,E213,E218,E223,E228,E233,E243,E238,E248)</f>
        <v>41.766666666666666</v>
      </c>
      <c r="F254" s="37">
        <f t="shared" si="316"/>
        <v>90.34482758620689</v>
      </c>
      <c r="G254" s="37">
        <f t="shared" si="316"/>
        <v>132.86666666666667</v>
      </c>
      <c r="H254" s="37">
        <f t="shared" si="316"/>
        <v>139.40740740740742</v>
      </c>
      <c r="I254" s="37">
        <f t="shared" si="316"/>
        <v>144</v>
      </c>
      <c r="J254" s="37">
        <f t="shared" si="316"/>
        <v>191.27586206896552</v>
      </c>
      <c r="K254" s="37">
        <f t="shared" si="316"/>
        <v>193.51724137931035</v>
      </c>
      <c r="L254" s="37">
        <f t="shared" si="316"/>
        <v>133.22222222222223</v>
      </c>
      <c r="M254" s="37">
        <f t="shared" si="316"/>
        <v>120.2258064516129</v>
      </c>
      <c r="N254" s="37">
        <f t="shared" si="316"/>
        <v>127.5</v>
      </c>
      <c r="O254" s="37">
        <f t="shared" si="316"/>
        <v>167.36842105263159</v>
      </c>
      <c r="P254" s="37">
        <f t="shared" si="316"/>
        <v>78.36363636363636</v>
      </c>
      <c r="Q254" s="37">
        <f t="shared" si="316"/>
        <v>45.833333333333336</v>
      </c>
      <c r="R254" s="37">
        <f t="shared" si="316"/>
        <v>136.28571428571428</v>
      </c>
      <c r="S254" s="37">
        <f t="shared" si="316"/>
        <v>199.2</v>
      </c>
      <c r="T254" s="37">
        <f t="shared" si="316"/>
        <v>103.75</v>
      </c>
      <c r="U254" s="37">
        <f t="shared" si="316"/>
        <v>186.2</v>
      </c>
      <c r="V254" s="37">
        <f t="shared" si="316"/>
        <v>173.14285714285714</v>
      </c>
      <c r="W254" s="37">
        <f t="shared" si="316"/>
        <v>200.57142857142858</v>
      </c>
      <c r="X254" s="37">
        <f t="shared" si="316"/>
        <v>17.5</v>
      </c>
      <c r="Y254" s="37">
        <f t="shared" si="316"/>
        <v>189</v>
      </c>
      <c r="Z254" s="37"/>
      <c r="AA254" s="15">
        <f>SUM(D254:Z254)</f>
        <v>2778.34209119866</v>
      </c>
      <c r="AB254" s="37">
        <f t="shared" si="316"/>
        <v>8.1999999999999993</v>
      </c>
    </row>
    <row r="255" spans="1:28" ht="17" x14ac:dyDescent="0.2">
      <c r="B255" s="189"/>
      <c r="C255" s="67" t="s">
        <v>3</v>
      </c>
      <c r="D255" s="37">
        <f t="shared" ref="D255:Z255" si="317">AVERAGE(D39,D34,D29,D24,D19,D14,D9,D4,D44,D49,D54,D59,D64,D69,D74,D79,D84,D89,D94,D99, D104,D109,D114,D119,D124,D129,D134,D139,D144,D149,D154,D159,D164,D169,D174,D179,D184,D189,D194,D199,D204,D209,D214,D219,D224,D229,D234,D244,D239,D249)</f>
        <v>35.913043478260867</v>
      </c>
      <c r="E255" s="37">
        <f t="shared" si="317"/>
        <v>94.025000000000006</v>
      </c>
      <c r="F255" s="37">
        <f t="shared" si="317"/>
        <v>114.73684210526316</v>
      </c>
      <c r="G255" s="37">
        <f t="shared" si="317"/>
        <v>130.29268292682926</v>
      </c>
      <c r="H255" s="37">
        <f t="shared" si="317"/>
        <v>144.73684210526315</v>
      </c>
      <c r="I255" s="37">
        <f t="shared" si="317"/>
        <v>150.07317073170731</v>
      </c>
      <c r="J255" s="37">
        <f t="shared" si="317"/>
        <v>112.26829268292683</v>
      </c>
      <c r="K255" s="37">
        <f t="shared" si="317"/>
        <v>161.22857142857143</v>
      </c>
      <c r="L255" s="37">
        <f t="shared" si="317"/>
        <v>163.48387096774192</v>
      </c>
      <c r="M255" s="37">
        <f t="shared" si="317"/>
        <v>85.4375</v>
      </c>
      <c r="N255" s="37">
        <f t="shared" si="317"/>
        <v>92.709677419354833</v>
      </c>
      <c r="O255" s="37">
        <f t="shared" si="317"/>
        <v>98.607142857142861</v>
      </c>
      <c r="P255" s="37">
        <f t="shared" si="317"/>
        <v>91.80952380952381</v>
      </c>
      <c r="Q255" s="37">
        <f t="shared" si="317"/>
        <v>40.9</v>
      </c>
      <c r="R255" s="37">
        <f t="shared" si="317"/>
        <v>66.666666666666671</v>
      </c>
      <c r="S255" s="37">
        <f t="shared" si="317"/>
        <v>61.875</v>
      </c>
      <c r="T255" s="37">
        <f t="shared" si="317"/>
        <v>121.88888888888889</v>
      </c>
      <c r="U255" s="37">
        <f t="shared" si="317"/>
        <v>65.285714285714292</v>
      </c>
      <c r="V255" s="37">
        <f t="shared" si="317"/>
        <v>111</v>
      </c>
      <c r="W255" s="37">
        <f t="shared" si="317"/>
        <v>58.571428571428569</v>
      </c>
      <c r="X255" s="37">
        <f t="shared" si="317"/>
        <v>186</v>
      </c>
      <c r="Y255" s="37">
        <f t="shared" si="317"/>
        <v>45.5</v>
      </c>
      <c r="Z255" s="37">
        <f t="shared" si="317"/>
        <v>45.5</v>
      </c>
      <c r="AA255" s="15">
        <f>SUM(D255:Z255)</f>
        <v>2278.5098589252839</v>
      </c>
      <c r="AB255" s="37">
        <f t="shared" ref="AB255" si="318">AVERAGE(AB39,AB34,AB29,AB24,AB19,AB14,AB9,AB4,AB44,AB49,AB54,AB59,AB64,AB69,AB74,AB79,AB84,AB89,AB94,AB99, AB104,AB109,AB114,AB119,AB124,AB129,AB134,AB139,AB144,AB149,AB154,AB159,AB164,AB169,AB174,AB179,AB184,AB189,AB194,AB199,AB204,AB209,AB214,AB219,AB224,AB229,AB234,AB244,AB239,AB249)</f>
        <v>10.48</v>
      </c>
    </row>
    <row r="256" spans="1:28" ht="17" x14ac:dyDescent="0.2">
      <c r="B256" s="189"/>
      <c r="C256" s="67" t="s">
        <v>4</v>
      </c>
      <c r="D256" s="37">
        <f t="shared" ref="D256:Z256" si="319">AVERAGE(D40,D35,D30,D25,D20,D15,D10,D5,D45,D50,D55,D60,D65,D70,D75,D80,D85,D90,D95,D100, D105,D110,D115,D120,D125,D130,D135,D140,D145,D150,D155,D160,D165,D170,D175,D180,D185,D190,D195,D200,D205,D210,D215,D220,D225,D230,D235,D245,D240,D250)</f>
        <v>28.931034482758619</v>
      </c>
      <c r="E256" s="37">
        <f t="shared" si="319"/>
        <v>51.15</v>
      </c>
      <c r="F256" s="37">
        <f t="shared" si="319"/>
        <v>94.534883720930239</v>
      </c>
      <c r="G256" s="37">
        <f t="shared" si="319"/>
        <v>68.13636363636364</v>
      </c>
      <c r="H256" s="37">
        <f t="shared" si="319"/>
        <v>134.05263157894737</v>
      </c>
      <c r="I256" s="37">
        <f t="shared" si="319"/>
        <v>165.11111111111111</v>
      </c>
      <c r="J256" s="37">
        <f t="shared" si="319"/>
        <v>175.89743589743588</v>
      </c>
      <c r="K256" s="37">
        <f t="shared" si="319"/>
        <v>162.17073170731706</v>
      </c>
      <c r="L256" s="37">
        <f t="shared" si="319"/>
        <v>130.69444444444446</v>
      </c>
      <c r="M256" s="37">
        <f t="shared" si="319"/>
        <v>140.74193548387098</v>
      </c>
      <c r="N256" s="37">
        <f t="shared" si="319"/>
        <v>121.72727272727273</v>
      </c>
      <c r="O256" s="37">
        <f t="shared" si="319"/>
        <v>35.633333333333333</v>
      </c>
      <c r="P256" s="37">
        <f t="shared" si="319"/>
        <v>74.5</v>
      </c>
      <c r="Q256" s="37">
        <f t="shared" si="319"/>
        <v>75</v>
      </c>
      <c r="R256" s="37">
        <f t="shared" si="319"/>
        <v>55.444444444444443</v>
      </c>
      <c r="S256" s="37">
        <f t="shared" si="319"/>
        <v>108.7</v>
      </c>
      <c r="T256" s="37">
        <f t="shared" si="319"/>
        <v>82.333333333333329</v>
      </c>
      <c r="U256" s="37">
        <f t="shared" si="319"/>
        <v>123.42857142857143</v>
      </c>
      <c r="V256" s="37">
        <f t="shared" si="319"/>
        <v>139.83333333333334</v>
      </c>
      <c r="W256" s="37">
        <f t="shared" si="319"/>
        <v>165.66666666666666</v>
      </c>
      <c r="X256" s="37">
        <f t="shared" si="319"/>
        <v>223</v>
      </c>
      <c r="Y256" s="37">
        <f t="shared" si="319"/>
        <v>59</v>
      </c>
      <c r="Z256" s="37">
        <f t="shared" si="319"/>
        <v>80.5</v>
      </c>
      <c r="AA256" s="15">
        <f>SUM(D256:Z256)</f>
        <v>2496.1875273301343</v>
      </c>
      <c r="AB256" s="37">
        <f t="shared" ref="AB256" si="320">AVERAGE(AB40,AB35,AB30,AB25,AB20,AB15,AB10,AB5,AB45,AB50,AB55,AB60,AB65,AB70,AB75,AB80,AB85,AB90,AB95,AB100, AB105,AB110,AB115,AB120,AB125,AB130,AB135,AB140,AB145,AB150,AB155,AB160,AB165,AB170,AB175,AB180,AB185,AB190,AB195,AB200,AB205,AB210,AB215,AB220,AB225,AB230,AB235,AB245,AB240,AB250)</f>
        <v>10.8</v>
      </c>
    </row>
    <row r="257" spans="1:28" ht="17" x14ac:dyDescent="0.2">
      <c r="B257" s="189"/>
      <c r="C257" s="67" t="s">
        <v>5</v>
      </c>
      <c r="D257" s="37">
        <f t="shared" ref="D257:Z257" si="321">AVERAGE(D41,D36,D31,D26,D21,D16,D11,D6,D46,D51,D56,D61,D66,D71,D76,D81,D86,D91,D96,D101, D106,D111,D116,D121,D126,D131,D136,D141,D146,D151,D156,D161,D166,D171,D176,D181,D186,D191,D196,D201,D206,D211,D216,D221,D226,D231,D236,D246,D241,D251)</f>
        <v>31.09090909090909</v>
      </c>
      <c r="E257" s="37">
        <f t="shared" si="321"/>
        <v>67.234042553191486</v>
      </c>
      <c r="F257" s="37">
        <f t="shared" si="321"/>
        <v>123.43478260869566</v>
      </c>
      <c r="G257" s="37">
        <f t="shared" si="321"/>
        <v>146.02272727272728</v>
      </c>
      <c r="H257" s="37">
        <f t="shared" si="321"/>
        <v>123.55319148936171</v>
      </c>
      <c r="I257" s="37">
        <f t="shared" si="321"/>
        <v>170.13636363636363</v>
      </c>
      <c r="J257" s="37">
        <f t="shared" si="321"/>
        <v>153.97674418604652</v>
      </c>
      <c r="K257" s="37">
        <f t="shared" si="321"/>
        <v>171.56410256410257</v>
      </c>
      <c r="L257" s="37">
        <f t="shared" si="321"/>
        <v>190.35135135135135</v>
      </c>
      <c r="M257" s="37">
        <f t="shared" si="321"/>
        <v>89.540540540540547</v>
      </c>
      <c r="N257" s="37">
        <f t="shared" si="321"/>
        <v>133.86206896551724</v>
      </c>
      <c r="O257" s="37">
        <f t="shared" si="321"/>
        <v>86.24</v>
      </c>
      <c r="P257" s="37">
        <f t="shared" si="321"/>
        <v>91.208333333333329</v>
      </c>
      <c r="Q257" s="37">
        <f t="shared" si="321"/>
        <v>107.72727272727273</v>
      </c>
      <c r="R257" s="37">
        <f t="shared" si="321"/>
        <v>89.647058823529406</v>
      </c>
      <c r="S257" s="37">
        <f t="shared" si="321"/>
        <v>44.25</v>
      </c>
      <c r="T257" s="37">
        <f t="shared" si="321"/>
        <v>115.27272727272727</v>
      </c>
      <c r="U257" s="37">
        <f t="shared" si="321"/>
        <v>55.166666666666664</v>
      </c>
      <c r="V257" s="37">
        <f t="shared" si="321"/>
        <v>128</v>
      </c>
      <c r="W257" s="37">
        <f t="shared" si="321"/>
        <v>133</v>
      </c>
      <c r="X257" s="37">
        <f t="shared" si="321"/>
        <v>39.5</v>
      </c>
      <c r="Y257" s="37">
        <f t="shared" si="321"/>
        <v>280</v>
      </c>
      <c r="Z257" s="37">
        <f t="shared" si="321"/>
        <v>38</v>
      </c>
      <c r="AA257" s="15">
        <f>SUM(D257:Z257)</f>
        <v>2608.7788830823365</v>
      </c>
      <c r="AB257" s="37">
        <f t="shared" ref="AB257" si="322">AVERAGE(AB41,AB36,AB31,AB26,AB21,AB16,AB11,AB6,AB46,AB51,AB56,AB61,AB66,AB71,AB76,AB81,AB86,AB91,AB96,AB101, AB106,AB111,AB116,AB121,AB126,AB131,AB136,AB141,AB146,AB151,AB156,AB161,AB166,AB171,AB176,AB181,AB186,AB191,AB196,AB201,AB206,AB211,AB216,AB221,AB226,AB231,AB236,AB246,AB241,AB251)</f>
        <v>11.64</v>
      </c>
    </row>
    <row r="258" spans="1:28" x14ac:dyDescent="0.2">
      <c r="A258" s="37"/>
      <c r="B258" s="189"/>
      <c r="C258" s="37">
        <f>SUM(D258:W258)</f>
        <v>8958.3183605364138</v>
      </c>
      <c r="D258" s="37">
        <f>SUM(D254:D257)</f>
        <v>62.934987051928573</v>
      </c>
      <c r="E258" s="15">
        <f t="shared" ref="E258:Z258" si="323">SUM(E254:E257)</f>
        <v>254.17570921985816</v>
      </c>
      <c r="F258" s="15">
        <f t="shared" si="323"/>
        <v>423.05133602109595</v>
      </c>
      <c r="G258" s="15">
        <f t="shared" si="323"/>
        <v>477.31844050258678</v>
      </c>
      <c r="H258" s="15">
        <f t="shared" si="323"/>
        <v>541.75007258097958</v>
      </c>
      <c r="I258" s="15">
        <f t="shared" si="323"/>
        <v>629.32064547918208</v>
      </c>
      <c r="J258" s="15">
        <f t="shared" si="323"/>
        <v>633.41833483537471</v>
      </c>
      <c r="K258" s="15">
        <f t="shared" si="323"/>
        <v>688.48064707930132</v>
      </c>
      <c r="L258" s="15">
        <f t="shared" si="323"/>
        <v>617.75188898575993</v>
      </c>
      <c r="M258" s="15">
        <f t="shared" si="323"/>
        <v>435.94578247602442</v>
      </c>
      <c r="N258" s="15">
        <f t="shared" si="323"/>
        <v>475.79901911214483</v>
      </c>
      <c r="O258" s="15">
        <f t="shared" si="323"/>
        <v>387.84889724310779</v>
      </c>
      <c r="P258" s="15">
        <f t="shared" si="323"/>
        <v>335.88149350649348</v>
      </c>
      <c r="Q258" s="15">
        <f t="shared" si="323"/>
        <v>269.4606060606061</v>
      </c>
      <c r="R258" s="4">
        <f t="shared" si="323"/>
        <v>348.04388422035481</v>
      </c>
      <c r="S258" s="15">
        <f t="shared" si="323"/>
        <v>414.02499999999998</v>
      </c>
      <c r="T258" s="15">
        <f t="shared" si="323"/>
        <v>423.24494949494948</v>
      </c>
      <c r="U258" s="15">
        <f t="shared" si="323"/>
        <v>430.0809523809524</v>
      </c>
      <c r="V258" s="15">
        <f t="shared" si="323"/>
        <v>551.97619047619048</v>
      </c>
      <c r="W258" s="15">
        <f t="shared" si="323"/>
        <v>557.80952380952385</v>
      </c>
      <c r="X258" s="15">
        <f t="shared" si="323"/>
        <v>466</v>
      </c>
      <c r="Y258" s="15">
        <f t="shared" si="323"/>
        <v>573.5</v>
      </c>
      <c r="Z258" s="15">
        <f t="shared" si="323"/>
        <v>164</v>
      </c>
      <c r="AA258" s="15"/>
      <c r="AB258" s="15"/>
    </row>
    <row r="260" spans="1:28" ht="16" customHeight="1" x14ac:dyDescent="0.2">
      <c r="B260" s="55"/>
      <c r="C260" s="55"/>
      <c r="G260" s="77"/>
      <c r="H260" s="77"/>
      <c r="I260" s="77"/>
      <c r="J260" s="77"/>
    </row>
    <row r="261" spans="1:28" ht="16" customHeight="1" x14ac:dyDescent="0.2">
      <c r="A261" s="80"/>
      <c r="B261" s="55"/>
      <c r="C261" s="55"/>
      <c r="D261" s="80"/>
      <c r="H261" s="189" t="s">
        <v>275</v>
      </c>
      <c r="I261" s="189"/>
      <c r="J261" s="189"/>
    </row>
    <row r="262" spans="1:28" ht="16" customHeight="1" x14ac:dyDescent="0.2">
      <c r="A262" s="80"/>
      <c r="B262" s="55"/>
      <c r="C262" s="55"/>
      <c r="D262" s="164"/>
    </row>
    <row r="263" spans="1:28" ht="16" customHeight="1" x14ac:dyDescent="0.2">
      <c r="A263" s="80"/>
      <c r="B263" s="189" t="s">
        <v>176</v>
      </c>
      <c r="C263" s="189"/>
      <c r="D263" s="145">
        <v>1</v>
      </c>
    </row>
    <row r="264" spans="1:28" ht="16" customHeight="1" x14ac:dyDescent="0.2">
      <c r="A264" s="80"/>
      <c r="B264" s="189" t="s">
        <v>177</v>
      </c>
      <c r="C264" s="189"/>
      <c r="D264" s="145">
        <v>1</v>
      </c>
    </row>
    <row r="265" spans="1:28" ht="16" customHeight="1" x14ac:dyDescent="0.2">
      <c r="A265" s="80"/>
      <c r="B265" s="189" t="s">
        <v>178</v>
      </c>
      <c r="C265" s="189"/>
      <c r="D265" s="145">
        <v>1</v>
      </c>
    </row>
    <row r="266" spans="1:28" ht="16" customHeight="1" x14ac:dyDescent="0.2">
      <c r="B266" s="189" t="s">
        <v>179</v>
      </c>
      <c r="C266" s="189"/>
      <c r="D266" s="145">
        <v>1</v>
      </c>
    </row>
    <row r="267" spans="1:28" x14ac:dyDescent="0.2">
      <c r="A267" s="80"/>
      <c r="B267" s="189" t="s">
        <v>180</v>
      </c>
      <c r="C267" s="189"/>
      <c r="D267" s="80">
        <v>1</v>
      </c>
    </row>
    <row r="268" spans="1:28" x14ac:dyDescent="0.2">
      <c r="A268" s="80"/>
      <c r="B268" s="189" t="s">
        <v>181</v>
      </c>
      <c r="C268" s="189"/>
      <c r="D268" s="80">
        <v>1</v>
      </c>
    </row>
    <row r="269" spans="1:28" x14ac:dyDescent="0.2">
      <c r="A269" s="80"/>
      <c r="B269" s="189" t="s">
        <v>182</v>
      </c>
      <c r="C269" s="189"/>
      <c r="D269" s="80">
        <v>1</v>
      </c>
    </row>
    <row r="270" spans="1:28" x14ac:dyDescent="0.2">
      <c r="A270" s="80"/>
      <c r="B270" s="189" t="s">
        <v>183</v>
      </c>
      <c r="C270" s="189"/>
      <c r="D270" s="80">
        <v>1</v>
      </c>
    </row>
    <row r="271" spans="1:28" ht="16" customHeight="1" x14ac:dyDescent="0.2">
      <c r="B271" s="189" t="s">
        <v>238</v>
      </c>
      <c r="C271" s="189"/>
      <c r="D271" s="145">
        <v>0</v>
      </c>
      <c r="E271" s="189" t="s">
        <v>260</v>
      </c>
      <c r="F271" s="189"/>
      <c r="G271" s="189"/>
      <c r="H271" s="189"/>
    </row>
    <row r="272" spans="1:28" x14ac:dyDescent="0.2">
      <c r="B272" s="189" t="s">
        <v>239</v>
      </c>
      <c r="C272" s="189"/>
      <c r="D272" s="145">
        <v>0</v>
      </c>
      <c r="E272" s="189"/>
      <c r="F272" s="189"/>
      <c r="G272" s="189"/>
      <c r="H272" s="189"/>
    </row>
    <row r="273" spans="2:8" x14ac:dyDescent="0.2">
      <c r="B273" s="189" t="s">
        <v>240</v>
      </c>
      <c r="C273" s="189"/>
      <c r="D273" s="145">
        <v>0</v>
      </c>
      <c r="E273" s="189"/>
      <c r="F273" s="189"/>
      <c r="G273" s="189"/>
      <c r="H273" s="189"/>
    </row>
    <row r="274" spans="2:8" x14ac:dyDescent="0.2">
      <c r="B274" s="189" t="s">
        <v>241</v>
      </c>
      <c r="C274" s="189"/>
      <c r="D274" s="145">
        <v>0</v>
      </c>
      <c r="E274" s="189"/>
      <c r="F274" s="189"/>
      <c r="G274" s="189"/>
      <c r="H274" s="189"/>
    </row>
    <row r="275" spans="2:8" x14ac:dyDescent="0.2">
      <c r="B275" s="189" t="s">
        <v>242</v>
      </c>
      <c r="C275" s="189"/>
      <c r="D275" s="145">
        <v>0</v>
      </c>
      <c r="E275" s="189"/>
      <c r="F275" s="189"/>
      <c r="G275" s="189"/>
      <c r="H275" s="189"/>
    </row>
    <row r="278" spans="2:8" x14ac:dyDescent="0.2">
      <c r="B278" s="189" t="s">
        <v>261</v>
      </c>
      <c r="C278" s="189"/>
    </row>
    <row r="279" spans="2:8" x14ac:dyDescent="0.2">
      <c r="B279" s="189" t="s">
        <v>240</v>
      </c>
      <c r="C279" s="189"/>
    </row>
    <row r="280" spans="2:8" x14ac:dyDescent="0.2">
      <c r="B280" s="189" t="s">
        <v>262</v>
      </c>
      <c r="C280" s="189"/>
    </row>
    <row r="281" spans="2:8" x14ac:dyDescent="0.2">
      <c r="B281" s="188" t="s">
        <v>263</v>
      </c>
      <c r="C281" s="188"/>
    </row>
    <row r="282" spans="2:8" x14ac:dyDescent="0.2">
      <c r="B282" s="188" t="s">
        <v>264</v>
      </c>
      <c r="C282" s="188"/>
    </row>
    <row r="283" spans="2:8" x14ac:dyDescent="0.2">
      <c r="B283" s="188" t="s">
        <v>265</v>
      </c>
      <c r="C283" s="188"/>
    </row>
    <row r="284" spans="2:8" x14ac:dyDescent="0.2">
      <c r="B284" s="189" t="s">
        <v>266</v>
      </c>
      <c r="C284" s="189"/>
    </row>
    <row r="285" spans="2:8" x14ac:dyDescent="0.2">
      <c r="B285" s="188" t="s">
        <v>267</v>
      </c>
      <c r="C285" s="188"/>
    </row>
    <row r="286" spans="2:8" x14ac:dyDescent="0.2">
      <c r="B286" s="189" t="s">
        <v>268</v>
      </c>
      <c r="C286" s="189"/>
    </row>
    <row r="287" spans="2:8" x14ac:dyDescent="0.2">
      <c r="B287" s="189" t="s">
        <v>269</v>
      </c>
      <c r="C287" s="189"/>
    </row>
    <row r="288" spans="2:8" x14ac:dyDescent="0.2">
      <c r="B288" s="188" t="s">
        <v>270</v>
      </c>
      <c r="C288" s="188"/>
    </row>
  </sheetData>
  <mergeCells count="82">
    <mergeCell ref="H261:J261"/>
    <mergeCell ref="E271:H275"/>
    <mergeCell ref="B271:C271"/>
    <mergeCell ref="B272:C272"/>
    <mergeCell ref="B273:C273"/>
    <mergeCell ref="B274:C274"/>
    <mergeCell ref="B275:C275"/>
    <mergeCell ref="B269:C269"/>
    <mergeCell ref="B270:C270"/>
    <mergeCell ref="B265:C265"/>
    <mergeCell ref="B266:C266"/>
    <mergeCell ref="B267:C267"/>
    <mergeCell ref="B268:C268"/>
    <mergeCell ref="B38:B42"/>
    <mergeCell ref="B83:B87"/>
    <mergeCell ref="B53:B57"/>
    <mergeCell ref="B78:B82"/>
    <mergeCell ref="B254:B258"/>
    <mergeCell ref="B183:B187"/>
    <mergeCell ref="B143:B147"/>
    <mergeCell ref="B148:B152"/>
    <mergeCell ref="B168:B172"/>
    <mergeCell ref="B173:B177"/>
    <mergeCell ref="B193:B197"/>
    <mergeCell ref="B203:B207"/>
    <mergeCell ref="B213:B217"/>
    <mergeCell ref="B218:B222"/>
    <mergeCell ref="B98:B102"/>
    <mergeCell ref="B103:B107"/>
    <mergeCell ref="B233:B237"/>
    <mergeCell ref="B58:B62"/>
    <mergeCell ref="B63:B67"/>
    <mergeCell ref="B68:B72"/>
    <mergeCell ref="B73:B77"/>
    <mergeCell ref="B88:B92"/>
    <mergeCell ref="B108:B112"/>
    <mergeCell ref="B188:B192"/>
    <mergeCell ref="B133:B137"/>
    <mergeCell ref="B153:B157"/>
    <mergeCell ref="B178:B182"/>
    <mergeCell ref="B118:B122"/>
    <mergeCell ref="B123:B127"/>
    <mergeCell ref="B128:B132"/>
    <mergeCell ref="B113:B117"/>
    <mergeCell ref="B138:B142"/>
    <mergeCell ref="B158:B162"/>
    <mergeCell ref="B163:B167"/>
    <mergeCell ref="B208:B212"/>
    <mergeCell ref="B223:B227"/>
    <mergeCell ref="B228:B232"/>
    <mergeCell ref="B3:B7"/>
    <mergeCell ref="B198:B202"/>
    <mergeCell ref="R1:AA1"/>
    <mergeCell ref="D1:I1"/>
    <mergeCell ref="J1:Q1"/>
    <mergeCell ref="B43:B47"/>
    <mergeCell ref="B48:B52"/>
    <mergeCell ref="B33:B37"/>
    <mergeCell ref="B23:B27"/>
    <mergeCell ref="B28:B32"/>
    <mergeCell ref="B18:B22"/>
    <mergeCell ref="B1:C1"/>
    <mergeCell ref="B2:C2"/>
    <mergeCell ref="B8:B12"/>
    <mergeCell ref="B13:B17"/>
    <mergeCell ref="B93:B97"/>
    <mergeCell ref="B288:C288"/>
    <mergeCell ref="B238:B242"/>
    <mergeCell ref="B283:C283"/>
    <mergeCell ref="B284:C284"/>
    <mergeCell ref="B285:C285"/>
    <mergeCell ref="B286:C286"/>
    <mergeCell ref="B287:C287"/>
    <mergeCell ref="B278:C278"/>
    <mergeCell ref="B279:C279"/>
    <mergeCell ref="B280:C280"/>
    <mergeCell ref="B281:C281"/>
    <mergeCell ref="B282:C282"/>
    <mergeCell ref="B263:C263"/>
    <mergeCell ref="B264:C264"/>
    <mergeCell ref="B243:B247"/>
    <mergeCell ref="B248:B252"/>
  </mergeCells>
  <conditionalFormatting sqref="D258:Z2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7"/>
  <dimension ref="A1:AA2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0.83203125" defaultRowHeight="16" x14ac:dyDescent="0.2"/>
  <cols>
    <col min="1" max="1" width="10.83203125" style="36"/>
    <col min="2" max="2" width="8.1640625" style="36" hidden="1" customWidth="1"/>
    <col min="3" max="27" width="5.83203125" style="36" customWidth="1"/>
    <col min="28" max="16384" width="10.83203125" style="36"/>
  </cols>
  <sheetData>
    <row r="1" spans="1:27" x14ac:dyDescent="0.2">
      <c r="A1" s="36" t="s">
        <v>67</v>
      </c>
      <c r="B1" s="36" t="s">
        <v>68</v>
      </c>
      <c r="C1" s="36">
        <v>16</v>
      </c>
      <c r="D1" s="36">
        <v>17</v>
      </c>
      <c r="E1" s="36">
        <v>18</v>
      </c>
      <c r="F1" s="36">
        <v>19</v>
      </c>
      <c r="G1" s="36">
        <v>20</v>
      </c>
      <c r="H1" s="36">
        <v>21</v>
      </c>
      <c r="I1" s="36">
        <v>22</v>
      </c>
      <c r="J1" s="36">
        <v>23</v>
      </c>
      <c r="K1" s="36">
        <v>24</v>
      </c>
      <c r="L1" s="36">
        <v>25</v>
      </c>
      <c r="M1" s="36">
        <v>26</v>
      </c>
      <c r="N1" s="36">
        <v>27</v>
      </c>
      <c r="O1" s="36">
        <v>28</v>
      </c>
      <c r="P1" s="36">
        <v>29</v>
      </c>
      <c r="Q1" s="36">
        <v>30</v>
      </c>
      <c r="R1" s="36">
        <v>31</v>
      </c>
      <c r="S1" s="36">
        <v>32</v>
      </c>
      <c r="T1" s="36">
        <v>33</v>
      </c>
      <c r="U1" s="36">
        <v>34</v>
      </c>
      <c r="V1" s="36">
        <v>35</v>
      </c>
      <c r="W1" s="36">
        <v>36</v>
      </c>
      <c r="X1" s="36">
        <v>37</v>
      </c>
      <c r="Y1" s="36">
        <v>38</v>
      </c>
      <c r="Z1" s="36">
        <v>39</v>
      </c>
      <c r="AA1" s="36">
        <v>40</v>
      </c>
    </row>
    <row r="2" spans="1:27" x14ac:dyDescent="0.2">
      <c r="A2" s="36" t="s">
        <v>11</v>
      </c>
      <c r="B2" s="32">
        <f>Ranking!R3-Ranking!P3</f>
        <v>18</v>
      </c>
      <c r="E2" s="41">
        <f>'By Year'!B2</f>
        <v>-61</v>
      </c>
      <c r="F2" s="52">
        <f>'By Year'!C2</f>
        <v>-44</v>
      </c>
      <c r="G2" s="52">
        <f>'By Year'!D2</f>
        <v>422</v>
      </c>
      <c r="H2" s="52">
        <f>'By Year'!E2</f>
        <v>394</v>
      </c>
      <c r="I2" s="52">
        <f>'By Year'!F2</f>
        <v>888</v>
      </c>
      <c r="J2" s="52">
        <f>'By Year'!G2</f>
        <v>2185</v>
      </c>
      <c r="K2" s="52">
        <f>'By Year'!H2</f>
        <v>3601</v>
      </c>
      <c r="L2" s="52">
        <f>'By Year'!I2</f>
        <v>5278</v>
      </c>
      <c r="M2" s="52">
        <f>'By Year'!J2</f>
        <v>7128</v>
      </c>
      <c r="N2" s="52">
        <f>'By Year'!K2</f>
        <v>8470</v>
      </c>
      <c r="O2" s="52">
        <f>'By Year'!L2</f>
        <v>10329</v>
      </c>
      <c r="P2" s="52">
        <f>'By Year'!M2</f>
        <v>11412</v>
      </c>
      <c r="Q2" s="52">
        <f>'By Year'!N2</f>
        <v>12686</v>
      </c>
      <c r="R2" s="115">
        <f>'By Year'!O2</f>
        <v>13670</v>
      </c>
      <c r="S2" s="52">
        <f>'By Year'!P2</f>
        <v>14260</v>
      </c>
      <c r="T2" s="115">
        <f>'By Year'!Q2</f>
        <v>15181</v>
      </c>
      <c r="U2" s="36">
        <f>'By Year'!R2</f>
        <v>16256</v>
      </c>
      <c r="V2" s="36">
        <f>'By Year'!S2</f>
        <v>16826</v>
      </c>
      <c r="W2" s="36">
        <f>'By Year'!T2</f>
        <v>17969</v>
      </c>
      <c r="X2" s="36">
        <f>'By Year'!U2</f>
        <v>18666</v>
      </c>
      <c r="Y2" s="111">
        <f>'By Year'!V2</f>
        <v>19338</v>
      </c>
      <c r="Z2" s="122">
        <f>'By Year'!W2</f>
        <v>19527</v>
      </c>
      <c r="AA2" s="122"/>
    </row>
    <row r="3" spans="1:27" x14ac:dyDescent="0.2">
      <c r="A3" s="36" t="s">
        <v>12</v>
      </c>
      <c r="B3" s="32">
        <f>Ranking!R5-Ranking!P5</f>
        <v>17</v>
      </c>
      <c r="D3" s="36">
        <f>'By Year'!B3</f>
        <v>32</v>
      </c>
      <c r="E3" s="41">
        <f>'By Year'!C3</f>
        <v>30</v>
      </c>
      <c r="F3" s="52">
        <f>'By Year'!D3</f>
        <v>588</v>
      </c>
      <c r="G3" s="52">
        <f>'By Year'!E3</f>
        <v>1323</v>
      </c>
      <c r="H3" s="52">
        <f>'By Year'!F3</f>
        <v>2546</v>
      </c>
      <c r="I3" s="52">
        <f>'By Year'!G3</f>
        <v>3817</v>
      </c>
      <c r="J3" s="52">
        <f>'By Year'!H3</f>
        <v>4657</v>
      </c>
      <c r="K3" s="52">
        <f>'By Year'!I3</f>
        <v>6331</v>
      </c>
      <c r="L3" s="52">
        <f>'By Year'!J3</f>
        <v>7547</v>
      </c>
      <c r="M3" s="52">
        <f>'By Year'!K3</f>
        <v>8249</v>
      </c>
      <c r="N3" s="52">
        <f>'By Year'!L3</f>
        <v>9166</v>
      </c>
      <c r="O3" s="52">
        <f>'By Year'!M3</f>
        <v>10030</v>
      </c>
      <c r="P3" s="52">
        <f>'By Year'!N3</f>
        <v>10287</v>
      </c>
      <c r="Q3" s="52">
        <f>'By Year'!O3</f>
        <v>10231</v>
      </c>
      <c r="R3" s="115">
        <f>'By Year'!P3</f>
        <v>11671</v>
      </c>
      <c r="S3" s="52">
        <f>'By Year'!Q3</f>
        <v>12766</v>
      </c>
      <c r="T3" s="115">
        <f>'By Year'!R3</f>
        <v>14128</v>
      </c>
      <c r="U3" s="122">
        <f>'By Year'!S3</f>
        <v>14666</v>
      </c>
    </row>
    <row r="4" spans="1:27" x14ac:dyDescent="0.2">
      <c r="A4" s="36" t="s">
        <v>16</v>
      </c>
      <c r="B4" s="32">
        <f>Ranking!R8-Ranking!P8</f>
        <v>18</v>
      </c>
      <c r="D4" s="36">
        <f>'By Year'!B4</f>
        <v>-69</v>
      </c>
      <c r="E4" s="41">
        <f>'By Year'!C4</f>
        <v>-106</v>
      </c>
      <c r="F4" s="52">
        <f>'By Year'!D4</f>
        <v>505</v>
      </c>
      <c r="G4" s="52">
        <f>'By Year'!E4</f>
        <v>574</v>
      </c>
      <c r="H4" s="52">
        <f>'By Year'!F4</f>
        <v>1309</v>
      </c>
      <c r="I4" s="52">
        <f>'By Year'!G4</f>
        <v>2725</v>
      </c>
      <c r="J4" s="52">
        <f>'By Year'!H4</f>
        <v>3824</v>
      </c>
      <c r="K4" s="52">
        <f>'By Year'!I4</f>
        <v>4853</v>
      </c>
      <c r="L4" s="52">
        <f>'By Year'!J4</f>
        <v>5849</v>
      </c>
      <c r="M4" s="52">
        <f>'By Year'!K4</f>
        <v>6758</v>
      </c>
      <c r="N4" s="52">
        <f>'By Year'!L4</f>
        <v>7527</v>
      </c>
      <c r="O4" s="52">
        <f>'By Year'!M4</f>
        <v>7809</v>
      </c>
      <c r="P4" s="52">
        <f>'By Year'!N4</f>
        <v>8449</v>
      </c>
      <c r="Q4" s="52">
        <f>'By Year'!O4</f>
        <v>8900</v>
      </c>
      <c r="R4" s="115">
        <f>'By Year'!P4</f>
        <v>9391</v>
      </c>
      <c r="S4" s="52"/>
      <c r="T4" s="115"/>
    </row>
    <row r="5" spans="1:27" x14ac:dyDescent="0.2">
      <c r="A5" s="36" t="s">
        <v>17</v>
      </c>
      <c r="B5" s="32">
        <f>Ranking!R4-Ranking!P4</f>
        <v>18</v>
      </c>
      <c r="E5" s="41">
        <f>'By Year'!B5</f>
        <v>146</v>
      </c>
      <c r="F5" s="52">
        <f>'By Year'!C5</f>
        <v>585</v>
      </c>
      <c r="G5" s="52">
        <f>'By Year'!D5</f>
        <v>1428</v>
      </c>
      <c r="H5" s="52">
        <f>'By Year'!E5</f>
        <v>2283</v>
      </c>
      <c r="I5" s="52">
        <f>'By Year'!F5</f>
        <v>2665</v>
      </c>
      <c r="J5" s="52">
        <f>'By Year'!G5</f>
        <v>3434</v>
      </c>
      <c r="K5" s="52">
        <f>'By Year'!H5</f>
        <v>5290</v>
      </c>
      <c r="L5" s="52">
        <f>'By Year'!I5</f>
        <v>6724</v>
      </c>
      <c r="M5" s="52">
        <f>'By Year'!J5</f>
        <v>8329</v>
      </c>
      <c r="N5" s="52">
        <f>'By Year'!K5</f>
        <v>9772</v>
      </c>
      <c r="O5" s="52">
        <f>'By Year'!L5</f>
        <v>11678</v>
      </c>
      <c r="P5" s="52">
        <f>'By Year'!M5</f>
        <v>13010</v>
      </c>
      <c r="Q5" s="52">
        <f>'By Year'!N5</f>
        <v>13282</v>
      </c>
      <c r="R5" s="115">
        <f>'By Year'!O5</f>
        <v>14472</v>
      </c>
      <c r="S5" s="111">
        <f>'By Year'!P5</f>
        <v>15647</v>
      </c>
      <c r="T5" s="122">
        <f>'By Year'!Q5</f>
        <v>16586</v>
      </c>
    </row>
    <row r="6" spans="1:27" x14ac:dyDescent="0.2">
      <c r="A6" s="36" t="s">
        <v>20</v>
      </c>
      <c r="B6" s="32">
        <f>Ranking!R10-Ranking!P10</f>
        <v>16</v>
      </c>
      <c r="D6" s="36">
        <f>'By Year'!B6</f>
        <v>358</v>
      </c>
      <c r="E6" s="41">
        <f>'By Year'!C6</f>
        <v>710</v>
      </c>
      <c r="F6" s="52">
        <f>'By Year'!D6</f>
        <v>1639</v>
      </c>
      <c r="G6" s="52">
        <f>'By Year'!E6</f>
        <v>2629</v>
      </c>
      <c r="H6" s="52">
        <f>'By Year'!F6</f>
        <v>3204</v>
      </c>
      <c r="I6" s="52">
        <f>'By Year'!G6</f>
        <v>4496</v>
      </c>
      <c r="J6" s="52">
        <f>'By Year'!H6</f>
        <v>5430</v>
      </c>
      <c r="K6" s="52">
        <f>'By Year'!I6</f>
        <v>6801</v>
      </c>
      <c r="L6" s="52">
        <f>'By Year'!J6</f>
        <v>7977</v>
      </c>
      <c r="M6" s="52"/>
      <c r="N6" s="52"/>
      <c r="O6" s="52"/>
      <c r="P6" s="52"/>
      <c r="Q6" s="52"/>
      <c r="R6" s="115"/>
      <c r="S6" s="52"/>
      <c r="T6" s="115"/>
    </row>
    <row r="7" spans="1:27" x14ac:dyDescent="0.2">
      <c r="A7" s="36" t="s">
        <v>49</v>
      </c>
      <c r="B7" s="32">
        <f>Ranking!R6-Ranking!P6</f>
        <v>18</v>
      </c>
      <c r="E7" s="41">
        <f>'By Year'!B7</f>
        <v>-18</v>
      </c>
      <c r="F7" s="52">
        <f>'By Year'!C7</f>
        <v>-61</v>
      </c>
      <c r="G7" s="52">
        <f>'By Year'!D7</f>
        <v>146</v>
      </c>
      <c r="H7" s="52">
        <f>'By Year'!E7</f>
        <v>312</v>
      </c>
      <c r="I7" s="52">
        <f>'By Year'!F7</f>
        <v>1686</v>
      </c>
      <c r="J7" s="52">
        <f>'By Year'!G7</f>
        <v>2638</v>
      </c>
      <c r="K7" s="52">
        <f>'By Year'!H7</f>
        <v>3177</v>
      </c>
      <c r="L7" s="52">
        <f>'By Year'!I7</f>
        <v>3860</v>
      </c>
      <c r="M7" s="52">
        <f>'By Year'!J7</f>
        <v>4787</v>
      </c>
      <c r="N7" s="52">
        <f>'By Year'!K7</f>
        <v>5593</v>
      </c>
      <c r="O7" s="52">
        <f>'By Year'!L7</f>
        <v>6344</v>
      </c>
      <c r="P7" s="52">
        <f>'By Year'!M7</f>
        <v>6894</v>
      </c>
      <c r="Q7" s="52">
        <f>'By Year'!N7</f>
        <v>7981</v>
      </c>
      <c r="R7" s="115">
        <f>'By Year'!O7</f>
        <v>8697</v>
      </c>
      <c r="S7" s="52">
        <f>'By Year'!P7</f>
        <v>9393</v>
      </c>
      <c r="T7" s="115">
        <f>'By Year'!Q7</f>
        <v>9991</v>
      </c>
      <c r="U7" s="36">
        <f>'By Year'!R7</f>
        <v>9894</v>
      </c>
      <c r="V7" s="36">
        <f>'By Year'!S7</f>
        <v>10347</v>
      </c>
      <c r="W7" s="36">
        <f>'By Year'!T7</f>
        <v>10314</v>
      </c>
      <c r="X7" s="36">
        <f>'By Year'!U7</f>
        <v>10488</v>
      </c>
      <c r="Y7" s="36">
        <f>'By Year'!V7</f>
        <v>10488</v>
      </c>
      <c r="Z7" s="36">
        <f>'By Year'!W7</f>
        <v>10922</v>
      </c>
      <c r="AA7" s="36">
        <f>'By Year'!X7</f>
        <v>10870</v>
      </c>
    </row>
    <row r="8" spans="1:27" x14ac:dyDescent="0.2">
      <c r="A8" s="36" t="s">
        <v>57</v>
      </c>
      <c r="B8" s="32">
        <f>Ranking!R7-Ranking!P7</f>
        <v>18</v>
      </c>
      <c r="E8" s="41">
        <f>'By Year'!B8</f>
        <v>-99</v>
      </c>
      <c r="F8" s="52">
        <f>'By Year'!C8</f>
        <v>32</v>
      </c>
      <c r="G8" s="52">
        <f>'By Year'!D8</f>
        <v>245</v>
      </c>
      <c r="H8" s="52">
        <f>'By Year'!E8</f>
        <v>578</v>
      </c>
      <c r="I8" s="52">
        <f>'By Year'!F8</f>
        <v>1000</v>
      </c>
      <c r="J8" s="52">
        <f>'By Year'!G8</f>
        <v>1981</v>
      </c>
      <c r="K8" s="52">
        <f>'By Year'!H8</f>
        <v>3198</v>
      </c>
      <c r="L8" s="52">
        <f>'By Year'!I8</f>
        <v>4135</v>
      </c>
      <c r="M8" s="52">
        <f>'By Year'!J8</f>
        <v>5384</v>
      </c>
      <c r="N8" s="52">
        <f>'By Year'!K8</f>
        <v>6868</v>
      </c>
      <c r="O8" s="52">
        <f>'By Year'!L8</f>
        <v>7786</v>
      </c>
      <c r="P8" s="52">
        <f>'By Year'!M8</f>
        <v>8938</v>
      </c>
      <c r="Q8" s="52">
        <f>'By Year'!N8</f>
        <v>9513</v>
      </c>
      <c r="R8" s="115">
        <f>'By Year'!O8</f>
        <v>10233</v>
      </c>
      <c r="S8" s="52">
        <f>'By Year'!P8</f>
        <v>10584</v>
      </c>
      <c r="T8" s="115">
        <f>'By Year'!Q8</f>
        <v>10301</v>
      </c>
      <c r="U8" s="36">
        <f>'By Year'!R8</f>
        <v>10423</v>
      </c>
    </row>
    <row r="9" spans="1:27" x14ac:dyDescent="0.2">
      <c r="A9" s="36" t="s">
        <v>65</v>
      </c>
      <c r="B9" s="32">
        <f>Ranking!R9-Ranking!P9</f>
        <v>17</v>
      </c>
      <c r="C9" s="36">
        <f>'By Year'!B9</f>
        <v>-99</v>
      </c>
      <c r="D9" s="36">
        <f>'By Year'!C9</f>
        <v>-210</v>
      </c>
      <c r="E9" s="41">
        <f>'By Year'!D9</f>
        <v>170</v>
      </c>
      <c r="F9" s="52">
        <f>'By Year'!E9</f>
        <v>292</v>
      </c>
      <c r="G9" s="52">
        <f>'By Year'!F9</f>
        <v>952</v>
      </c>
      <c r="H9" s="52">
        <f>'By Year'!G9</f>
        <v>1406</v>
      </c>
      <c r="I9" s="52">
        <f>'By Year'!H9</f>
        <v>2359</v>
      </c>
      <c r="J9" s="52">
        <f>'By Year'!I9</f>
        <v>2465</v>
      </c>
      <c r="K9" s="52">
        <f>'By Year'!J9</f>
        <v>3095</v>
      </c>
      <c r="L9" s="52">
        <f>'By Year'!K9</f>
        <v>4165</v>
      </c>
      <c r="M9" s="52">
        <f>'By Year'!L9</f>
        <v>4365</v>
      </c>
      <c r="N9" s="52">
        <f>'By Year'!M9</f>
        <v>4411</v>
      </c>
      <c r="O9" s="52">
        <f>'By Year'!N9</f>
        <v>4505</v>
      </c>
      <c r="P9" s="52">
        <f>'By Year'!O9</f>
        <v>5464</v>
      </c>
      <c r="Q9" s="52">
        <f>'By Year'!P9</f>
        <v>6108</v>
      </c>
      <c r="R9" s="115">
        <f>'By Year'!Q9</f>
        <v>7019</v>
      </c>
      <c r="S9" s="52">
        <f>'By Year'!R9</f>
        <v>7291</v>
      </c>
      <c r="T9" s="115">
        <f>'By Year'!S9</f>
        <v>8140</v>
      </c>
      <c r="U9" s="36">
        <f>'By Year'!T9</f>
        <v>8405</v>
      </c>
      <c r="V9" s="36">
        <f>'By Year'!U9</f>
        <v>8814</v>
      </c>
      <c r="W9" s="36">
        <f>'By Year'!V9</f>
        <v>8891</v>
      </c>
    </row>
    <row r="10" spans="1:27" x14ac:dyDescent="0.2">
      <c r="A10" s="36" t="s">
        <v>70</v>
      </c>
      <c r="B10" s="32">
        <f>Ranking!R11-Ranking!P11</f>
        <v>17</v>
      </c>
      <c r="E10" s="41">
        <f>'By Year'!B10</f>
        <v>369</v>
      </c>
      <c r="F10" s="52">
        <f>'By Year'!C10</f>
        <v>528</v>
      </c>
      <c r="G10" s="52">
        <f>'By Year'!D10</f>
        <v>1139</v>
      </c>
      <c r="H10" s="52">
        <f>'By Year'!E10</f>
        <v>1854</v>
      </c>
      <c r="I10" s="52">
        <f>'By Year'!F10</f>
        <v>2976</v>
      </c>
      <c r="J10" s="52">
        <f>'By Year'!G10</f>
        <v>3554</v>
      </c>
      <c r="K10" s="52">
        <f>'By Year'!H10</f>
        <v>4178</v>
      </c>
      <c r="L10" s="52">
        <f>'By Year'!I10</f>
        <v>5481</v>
      </c>
      <c r="M10" s="52">
        <f>'By Year'!J10</f>
        <v>6089</v>
      </c>
      <c r="N10" s="52">
        <f>'By Year'!K10</f>
        <v>6069</v>
      </c>
      <c r="O10" s="52">
        <f>'By Year'!L10</f>
        <v>6227</v>
      </c>
      <c r="P10" s="52">
        <f>'By Year'!M10</f>
        <v>6192</v>
      </c>
      <c r="Q10" s="52">
        <f>'By Year'!N10</f>
        <v>6503</v>
      </c>
      <c r="R10" s="115">
        <f>'By Year'!O10</f>
        <v>6705</v>
      </c>
      <c r="S10" s="52">
        <f>'By Year'!P10</f>
        <v>6705</v>
      </c>
      <c r="T10" s="115">
        <f>'By Year'!Q10</f>
        <v>7077</v>
      </c>
    </row>
    <row r="11" spans="1:27" x14ac:dyDescent="0.2">
      <c r="A11" s="36" t="s">
        <v>82</v>
      </c>
      <c r="B11" s="32">
        <f>Ranking!R13-Ranking!P13</f>
        <v>17</v>
      </c>
      <c r="D11" s="36">
        <f>'By Year'!B11</f>
        <v>-98</v>
      </c>
      <c r="E11" s="41">
        <f>'By Year'!C11</f>
        <v>636</v>
      </c>
      <c r="F11" s="52">
        <f>'By Year'!D11</f>
        <v>1680</v>
      </c>
      <c r="G11" s="52">
        <f>'By Year'!E11</f>
        <v>2407</v>
      </c>
      <c r="H11" s="52">
        <f>'By Year'!F11</f>
        <v>3373</v>
      </c>
      <c r="I11" s="52">
        <f>'By Year'!G11</f>
        <v>3420</v>
      </c>
      <c r="J11" s="52">
        <f>'By Year'!H11</f>
        <v>4270</v>
      </c>
      <c r="K11" s="52">
        <f>'By Year'!I11</f>
        <v>5780</v>
      </c>
      <c r="L11" s="52">
        <f>'By Year'!J11</f>
        <v>5890</v>
      </c>
      <c r="M11" s="52">
        <f>'By Year'!K11</f>
        <v>6075</v>
      </c>
      <c r="N11" s="52">
        <f>'By Year'!L11</f>
        <v>6035</v>
      </c>
      <c r="O11" s="52">
        <f>'By Year'!M11</f>
        <v>6035</v>
      </c>
      <c r="P11" s="52">
        <f>'By Year'!N11</f>
        <v>6113</v>
      </c>
      <c r="Q11" s="52">
        <f>'By Year'!O11</f>
        <v>5972</v>
      </c>
      <c r="R11" s="115">
        <f>'By Year'!P11</f>
        <v>5934</v>
      </c>
      <c r="S11" s="52">
        <f>'By Year'!Q11</f>
        <v>5919</v>
      </c>
      <c r="T11" s="115"/>
    </row>
    <row r="12" spans="1:27" x14ac:dyDescent="0.2">
      <c r="A12" s="36" t="s">
        <v>87</v>
      </c>
      <c r="B12" s="32">
        <f>Ranking!R12-Ranking!P12</f>
        <v>18</v>
      </c>
      <c r="D12" s="36">
        <f>'By Year'!B12</f>
        <v>-143</v>
      </c>
      <c r="E12" s="48">
        <f>'By Year'!C12</f>
        <v>-17</v>
      </c>
      <c r="F12" s="52">
        <f>'By Year'!D12</f>
        <v>775</v>
      </c>
      <c r="G12" s="52">
        <f>'By Year'!E12</f>
        <v>1026</v>
      </c>
      <c r="H12" s="52">
        <f>'By Year'!F12</f>
        <v>1790</v>
      </c>
      <c r="I12" s="52">
        <f>'By Year'!G12</f>
        <v>2358</v>
      </c>
      <c r="J12" s="52">
        <f>'By Year'!H12</f>
        <v>3122</v>
      </c>
      <c r="K12" s="52">
        <f>'By Year'!I12</f>
        <v>3745</v>
      </c>
      <c r="L12" s="52">
        <f>'By Year'!J12</f>
        <v>4666</v>
      </c>
      <c r="M12" s="52">
        <f>'By Year'!K12</f>
        <v>5484</v>
      </c>
      <c r="N12" s="52">
        <f>'By Year'!L12</f>
        <v>6085</v>
      </c>
      <c r="O12" s="52">
        <f>'By Year'!M12</f>
        <v>6145</v>
      </c>
      <c r="P12" s="52">
        <f>'By Year'!N12</f>
        <v>6147</v>
      </c>
      <c r="Q12" s="52">
        <f>'By Year'!O12</f>
        <v>6568</v>
      </c>
      <c r="R12" s="115"/>
      <c r="S12" s="52"/>
      <c r="T12" s="115"/>
    </row>
    <row r="13" spans="1:27" x14ac:dyDescent="0.2">
      <c r="A13" s="36" t="s">
        <v>90</v>
      </c>
      <c r="B13" s="32">
        <f>Ranking!R14-Ranking!P14</f>
        <v>17</v>
      </c>
      <c r="D13" s="36">
        <f>'By Year'!B13</f>
        <v>203</v>
      </c>
      <c r="E13" s="52">
        <f>'By Year'!C13</f>
        <v>700</v>
      </c>
      <c r="F13" s="52">
        <f>'By Year'!D13</f>
        <v>1485</v>
      </c>
      <c r="G13" s="52">
        <f>'By Year'!E13</f>
        <v>1778</v>
      </c>
      <c r="H13" s="52">
        <f>'By Year'!F13</f>
        <v>2243</v>
      </c>
      <c r="I13" s="52">
        <f>'By Year'!G13</f>
        <v>3369</v>
      </c>
      <c r="J13" s="52">
        <f>'By Year'!H13</f>
        <v>4108</v>
      </c>
      <c r="K13" s="52">
        <f>'By Year'!I13</f>
        <v>5164</v>
      </c>
      <c r="L13" s="52">
        <f>'By Year'!J13</f>
        <v>5431</v>
      </c>
      <c r="M13" s="52">
        <f>'By Year'!K13</f>
        <v>5620</v>
      </c>
      <c r="N13" s="52">
        <f>'By Year'!L13</f>
        <v>5701</v>
      </c>
      <c r="O13" s="52">
        <f>'By Year'!M13</f>
        <v>6009</v>
      </c>
      <c r="P13" s="52">
        <f>'By Year'!N13</f>
        <v>6446</v>
      </c>
      <c r="Q13" s="52">
        <f>'By Year'!O13</f>
        <v>6591</v>
      </c>
      <c r="R13" s="115">
        <f>'By Year'!P13</f>
        <v>6591</v>
      </c>
      <c r="S13" s="52">
        <f>'By Year'!Q13</f>
        <v>6740</v>
      </c>
      <c r="T13" s="115"/>
    </row>
    <row r="14" spans="1:27" x14ac:dyDescent="0.2">
      <c r="A14" s="58" t="s">
        <v>103</v>
      </c>
      <c r="B14" s="194" t="s">
        <v>104</v>
      </c>
      <c r="C14" s="194"/>
      <c r="D14" s="194"/>
      <c r="E14" s="194"/>
      <c r="F14" s="194"/>
      <c r="G14" s="194"/>
      <c r="H14" s="194"/>
      <c r="I14" s="194"/>
      <c r="J14" s="194"/>
    </row>
    <row r="15" spans="1:27" x14ac:dyDescent="0.2">
      <c r="A15" s="189" t="s">
        <v>95</v>
      </c>
      <c r="B15" s="194" t="s">
        <v>96</v>
      </c>
      <c r="C15" s="194"/>
      <c r="D15" s="194"/>
      <c r="E15" s="53" t="s">
        <v>97</v>
      </c>
      <c r="F15" s="53" t="s">
        <v>63</v>
      </c>
    </row>
    <row r="16" spans="1:27" x14ac:dyDescent="0.2">
      <c r="A16" s="189"/>
      <c r="B16" s="194" t="s">
        <v>65</v>
      </c>
      <c r="C16" s="194"/>
      <c r="D16" s="194"/>
      <c r="E16" s="53">
        <v>1</v>
      </c>
      <c r="F16" s="53">
        <f ca="1">SUMIF($B$16:C16, B16,$E$16:E16)</f>
        <v>1</v>
      </c>
      <c r="G16" s="9">
        <f>SUM('By Age'!$E$16:E16)</f>
        <v>1</v>
      </c>
    </row>
    <row r="17" spans="1:7" x14ac:dyDescent="0.2">
      <c r="A17" s="189"/>
      <c r="B17" s="194" t="s">
        <v>20</v>
      </c>
      <c r="C17" s="194"/>
      <c r="D17" s="194"/>
      <c r="E17" s="53">
        <v>2</v>
      </c>
      <c r="F17" s="53">
        <f ca="1">SUMIF($B$16:C17, B17,$E$16:E17)</f>
        <v>2</v>
      </c>
      <c r="G17" s="65">
        <f>SUM('By Age'!$E$16:E17)</f>
        <v>3</v>
      </c>
    </row>
    <row r="18" spans="1:7" x14ac:dyDescent="0.2">
      <c r="A18" s="189"/>
      <c r="B18" s="194" t="s">
        <v>82</v>
      </c>
      <c r="C18" s="194"/>
      <c r="D18" s="194"/>
      <c r="E18" s="53">
        <v>1</v>
      </c>
      <c r="F18" s="53">
        <f ca="1">SUMIF($B$16:C18, B18,$E$16:E18)</f>
        <v>1</v>
      </c>
      <c r="G18" s="65">
        <f>SUM('By Age'!$E$16:E18)</f>
        <v>4</v>
      </c>
    </row>
    <row r="19" spans="1:7" x14ac:dyDescent="0.2">
      <c r="A19" s="189"/>
      <c r="B19" s="194" t="s">
        <v>20</v>
      </c>
      <c r="C19" s="194"/>
      <c r="D19" s="194"/>
      <c r="E19" s="53">
        <v>1</v>
      </c>
      <c r="F19" s="53">
        <f ca="1">SUMIF($B$16:C19, B19,$E$16:E19)</f>
        <v>3</v>
      </c>
      <c r="G19" s="65">
        <f>SUM('By Age'!$E$16:E19)</f>
        <v>5</v>
      </c>
    </row>
    <row r="20" spans="1:7" x14ac:dyDescent="0.2">
      <c r="A20" s="189"/>
      <c r="B20" s="194" t="s">
        <v>82</v>
      </c>
      <c r="C20" s="194"/>
      <c r="D20" s="194"/>
      <c r="E20" s="53">
        <v>1</v>
      </c>
      <c r="F20" s="53">
        <f ca="1">SUMIF($B$16:C20, B20,$E$16:E20)</f>
        <v>2</v>
      </c>
      <c r="G20" s="65">
        <f>SUM('By Age'!$E$16:E20)</f>
        <v>6</v>
      </c>
    </row>
    <row r="21" spans="1:7" x14ac:dyDescent="0.2">
      <c r="A21" s="189"/>
      <c r="B21" s="194" t="s">
        <v>20</v>
      </c>
      <c r="C21" s="194"/>
      <c r="D21" s="194"/>
      <c r="E21" s="53">
        <v>4</v>
      </c>
      <c r="F21" s="53">
        <f ca="1">SUMIF($B$16:C21, B21,$E$16:E21)</f>
        <v>7</v>
      </c>
      <c r="G21" s="65">
        <f>SUM('By Age'!$E$16:E21)</f>
        <v>10</v>
      </c>
    </row>
    <row r="22" spans="1:7" x14ac:dyDescent="0.2">
      <c r="A22" s="189"/>
      <c r="B22" s="194" t="s">
        <v>17</v>
      </c>
      <c r="C22" s="194"/>
      <c r="D22" s="194"/>
      <c r="E22" s="53">
        <v>7</v>
      </c>
      <c r="F22" s="53">
        <f ca="1">SUMIF($B$16:C22, B22,$E$16:E22)</f>
        <v>7</v>
      </c>
      <c r="G22" s="65">
        <f>SUM('By Age'!$E$16:E22)</f>
        <v>17</v>
      </c>
    </row>
    <row r="23" spans="1:7" x14ac:dyDescent="0.2">
      <c r="A23" s="189"/>
      <c r="B23" s="194" t="s">
        <v>11</v>
      </c>
      <c r="C23" s="194"/>
      <c r="D23" s="194"/>
      <c r="E23" s="53">
        <v>6</v>
      </c>
      <c r="F23" s="53">
        <f ca="1">SUMIF($B$16:C23, B23,$E$16:E23)</f>
        <v>6</v>
      </c>
      <c r="G23" s="65">
        <f>SUM('By Age'!$E$16:E23)</f>
        <v>23</v>
      </c>
    </row>
    <row r="24" spans="1:7" x14ac:dyDescent="0.2">
      <c r="A24" s="189"/>
      <c r="B24" s="194" t="s">
        <v>49</v>
      </c>
      <c r="C24" s="194"/>
      <c r="D24" s="194"/>
      <c r="E24" s="53">
        <v>2</v>
      </c>
      <c r="F24" s="53">
        <f ca="1">SUMIF($B$16:C24, B24,$E$16:E24)</f>
        <v>2</v>
      </c>
      <c r="G24" s="65">
        <f>SUM('By Age'!$E$16:E24)</f>
        <v>25</v>
      </c>
    </row>
    <row r="25" spans="1:7" x14ac:dyDescent="0.2">
      <c r="G25" s="65"/>
    </row>
    <row r="26" spans="1:7" x14ac:dyDescent="0.2">
      <c r="G26" s="65"/>
    </row>
  </sheetData>
  <mergeCells count="12">
    <mergeCell ref="B14:J14"/>
    <mergeCell ref="A15:A24"/>
    <mergeCell ref="B24:D2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</mergeCells>
  <conditionalFormatting sqref="C2:C9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9 U2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9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2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2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3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1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3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 S6:S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 S6:S1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 S6:S1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 S6:S1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 T6:T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 T6:T1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 T6:T1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 T6:T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 T6:T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 R6:R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 R6:R1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 R6:R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 R6:R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9"/>
  <dimension ref="A1:V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6" sqref="S6"/>
    </sheetView>
  </sheetViews>
  <sheetFormatPr baseColWidth="10" defaultColWidth="10.83203125" defaultRowHeight="16" x14ac:dyDescent="0.2"/>
  <cols>
    <col min="1" max="1" width="8.33203125" style="52" customWidth="1"/>
    <col min="2" max="20" width="5.1640625" style="52" customWidth="1"/>
    <col min="21" max="21" width="5.1640625" style="111" customWidth="1"/>
    <col min="22" max="16384" width="10.83203125" style="52"/>
  </cols>
  <sheetData>
    <row r="1" spans="1:22" x14ac:dyDescent="0.2">
      <c r="A1" s="52" t="s">
        <v>13</v>
      </c>
      <c r="B1" s="52">
        <v>1</v>
      </c>
      <c r="C1" s="52">
        <v>2</v>
      </c>
      <c r="D1" s="52">
        <v>3</v>
      </c>
      <c r="E1" s="52">
        <v>4</v>
      </c>
      <c r="F1" s="52">
        <v>5</v>
      </c>
      <c r="G1" s="52">
        <v>6</v>
      </c>
      <c r="H1" s="52">
        <v>7</v>
      </c>
      <c r="I1" s="52">
        <v>8</v>
      </c>
      <c r="J1" s="52">
        <v>9</v>
      </c>
      <c r="K1" s="52">
        <v>10</v>
      </c>
      <c r="L1" s="52">
        <v>11</v>
      </c>
      <c r="M1" s="52">
        <v>12</v>
      </c>
      <c r="N1" s="52">
        <v>13</v>
      </c>
      <c r="O1" s="52">
        <v>14</v>
      </c>
      <c r="P1" s="52">
        <v>15</v>
      </c>
      <c r="Q1" s="52">
        <v>16</v>
      </c>
      <c r="R1" s="52">
        <v>17</v>
      </c>
      <c r="S1" s="52">
        <v>18</v>
      </c>
      <c r="T1" s="52">
        <v>19</v>
      </c>
      <c r="U1" s="111">
        <v>20</v>
      </c>
    </row>
    <row r="2" spans="1:22" x14ac:dyDescent="0.2">
      <c r="A2" s="52" t="s">
        <v>11</v>
      </c>
      <c r="B2" s="52">
        <f>Data!E3</f>
        <v>9</v>
      </c>
      <c r="C2" s="53">
        <f>Data!F3+B2</f>
        <v>87</v>
      </c>
      <c r="D2" s="53">
        <f>Data!G3+C2</f>
        <v>152</v>
      </c>
      <c r="E2" s="53">
        <f>Data!H3+D2</f>
        <v>184</v>
      </c>
      <c r="F2" s="53">
        <f>Data!I3+E2</f>
        <v>525</v>
      </c>
      <c r="G2" s="53">
        <f>Data!J3+F2</f>
        <v>699</v>
      </c>
      <c r="H2" s="53">
        <f>Data!K3+G2</f>
        <v>1130</v>
      </c>
      <c r="I2" s="53">
        <f>Data!L3+H2</f>
        <v>1686</v>
      </c>
      <c r="J2" s="53">
        <f>Data!M3+I2</f>
        <v>1994</v>
      </c>
      <c r="K2" s="53">
        <f>Data!N3+J2</f>
        <v>2428</v>
      </c>
      <c r="L2" s="53">
        <f>Data!O3+K2</f>
        <v>3020</v>
      </c>
      <c r="M2" s="53">
        <f>Data!P3+L2</f>
        <v>3326</v>
      </c>
      <c r="N2" s="53">
        <f>Data!Q3+M2</f>
        <v>3539</v>
      </c>
      <c r="O2" s="53">
        <f>Data!R3+N2</f>
        <v>3907</v>
      </c>
      <c r="P2" s="53">
        <f>Data!S3+O2</f>
        <v>4135</v>
      </c>
      <c r="Q2" s="53">
        <f>Data!T3+P2</f>
        <v>4194</v>
      </c>
      <c r="R2" s="53">
        <f>Data!U3+Q2</f>
        <v>4531</v>
      </c>
      <c r="S2" s="53">
        <f>Data!V3+R2</f>
        <v>5005</v>
      </c>
      <c r="T2" s="52">
        <f>Data!W3+S2</f>
        <v>5457</v>
      </c>
      <c r="U2" s="111">
        <f>Data!X3+T2</f>
        <v>5495</v>
      </c>
      <c r="V2" s="111"/>
    </row>
    <row r="3" spans="1:22" x14ac:dyDescent="0.2">
      <c r="A3" s="52" t="s">
        <v>12</v>
      </c>
      <c r="B3" s="52">
        <f>Data!E8</f>
        <v>-1</v>
      </c>
      <c r="C3" s="53">
        <f>Data!F8+B3</f>
        <v>117</v>
      </c>
      <c r="D3" s="53">
        <f>Data!H8+C3</f>
        <v>320</v>
      </c>
      <c r="E3" s="53">
        <f>Data!I8+D3</f>
        <v>503</v>
      </c>
      <c r="F3" s="53">
        <f>Data!J8+E3</f>
        <v>972</v>
      </c>
      <c r="G3" s="53">
        <f>Data!K8+F3</f>
        <v>1176</v>
      </c>
      <c r="H3" s="53">
        <f>Data!L8+G3</f>
        <v>1283</v>
      </c>
      <c r="I3" s="53">
        <f>Data!M8+H3</f>
        <v>1587</v>
      </c>
      <c r="J3" s="53">
        <f>Data!O8+I3</f>
        <v>1984</v>
      </c>
      <c r="K3" s="53">
        <f>Data!P8+J3</f>
        <v>2136</v>
      </c>
      <c r="L3" s="53">
        <f>Data!Q8+K3</f>
        <v>2091</v>
      </c>
      <c r="M3" s="53">
        <f>Data!R8+L3</f>
        <v>2571</v>
      </c>
      <c r="N3" s="53">
        <f>Data!S8+M3</f>
        <v>2802</v>
      </c>
      <c r="O3" s="111">
        <f>Data!T8+N3</f>
        <v>3147</v>
      </c>
      <c r="P3" s="53"/>
      <c r="Q3" s="53"/>
      <c r="R3" s="53"/>
      <c r="S3" s="53"/>
    </row>
    <row r="4" spans="1:22" x14ac:dyDescent="0.2">
      <c r="A4" s="52" t="s">
        <v>16</v>
      </c>
      <c r="B4" s="52">
        <f>Data!E13</f>
        <v>-81</v>
      </c>
      <c r="C4" s="53">
        <f>Data!F13+B4</f>
        <v>68</v>
      </c>
      <c r="D4" s="53">
        <f>Data!I13+C4</f>
        <v>341</v>
      </c>
      <c r="E4" s="53">
        <f>Data!J13+D4</f>
        <v>819</v>
      </c>
      <c r="F4" s="53">
        <f>Data!K13+E4</f>
        <v>1125</v>
      </c>
      <c r="G4" s="53">
        <f>Data!L13+F4</f>
        <v>1097</v>
      </c>
      <c r="H4" s="53">
        <f>Data!M13+G4</f>
        <v>1556</v>
      </c>
      <c r="I4" s="53">
        <f>Data!N13+H4</f>
        <v>1712</v>
      </c>
      <c r="J4" s="53">
        <f>Data!P13+I4</f>
        <v>1834</v>
      </c>
      <c r="K4" s="53">
        <f>Data!Q13+J4</f>
        <v>1884</v>
      </c>
      <c r="L4" s="53">
        <f>Data!R13+K4</f>
        <v>2030</v>
      </c>
      <c r="M4" s="53"/>
      <c r="N4" s="53"/>
      <c r="O4" s="53"/>
      <c r="P4" s="53"/>
      <c r="Q4" s="53"/>
      <c r="R4" s="53"/>
      <c r="S4" s="53"/>
    </row>
    <row r="5" spans="1:22" x14ac:dyDescent="0.2">
      <c r="A5" s="52" t="s">
        <v>17</v>
      </c>
      <c r="B5" s="52">
        <f>Data!D18</f>
        <v>-4</v>
      </c>
      <c r="C5" s="53">
        <f>Data!E18+B5</f>
        <v>-72</v>
      </c>
      <c r="D5" s="53">
        <f>Data!F18+C5</f>
        <v>6</v>
      </c>
      <c r="E5" s="53">
        <f>Data!G18+D5</f>
        <v>480</v>
      </c>
      <c r="F5" s="53">
        <f>Data!H18+E5</f>
        <v>520</v>
      </c>
      <c r="G5" s="53">
        <f>Data!I18+F5</f>
        <v>603</v>
      </c>
      <c r="H5" s="53">
        <f>Data!J18+G5</f>
        <v>1174</v>
      </c>
      <c r="I5" s="53">
        <f>Data!K18+H5</f>
        <v>1578</v>
      </c>
      <c r="J5" s="53">
        <f>Data!L18+I5</f>
        <v>2148</v>
      </c>
      <c r="K5" s="53">
        <f>Data!M18+J5</f>
        <v>2292</v>
      </c>
      <c r="L5" s="53">
        <f>Data!N18+K5</f>
        <v>2764</v>
      </c>
      <c r="M5" s="53">
        <f>Data!O18+L5</f>
        <v>3309</v>
      </c>
      <c r="N5" s="53">
        <f>Data!P18+M5</f>
        <v>3270</v>
      </c>
      <c r="O5" s="53">
        <f>Data!Q18+N5</f>
        <v>3389</v>
      </c>
      <c r="P5" s="111">
        <f>Data!R18+O5</f>
        <v>3863</v>
      </c>
      <c r="Q5" s="53"/>
      <c r="R5" s="53"/>
      <c r="S5" s="53"/>
    </row>
    <row r="6" spans="1:22" x14ac:dyDescent="0.2">
      <c r="A6" s="52" t="s">
        <v>20</v>
      </c>
      <c r="B6" s="52">
        <f>Data!E23</f>
        <v>32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22" x14ac:dyDescent="0.2">
      <c r="A7" s="52" t="s">
        <v>49</v>
      </c>
      <c r="B7" s="52">
        <f>Data!H28</f>
        <v>254</v>
      </c>
      <c r="C7" s="53">
        <f>Data!I28+B7</f>
        <v>401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</row>
    <row r="8" spans="1:22" x14ac:dyDescent="0.2">
      <c r="A8" s="52" t="s">
        <v>57</v>
      </c>
      <c r="B8" s="52">
        <f>Data!F33</f>
        <v>42</v>
      </c>
      <c r="C8" s="53">
        <f>Data!I33+B8</f>
        <v>383</v>
      </c>
      <c r="D8" s="53">
        <f>Data!J33+C8</f>
        <v>509</v>
      </c>
      <c r="E8" s="53">
        <f>Data!K33+D8</f>
        <v>642</v>
      </c>
      <c r="F8" s="53">
        <f>Data!M33+E8</f>
        <v>783</v>
      </c>
      <c r="G8" s="53">
        <f>Data!N33+F8</f>
        <v>934</v>
      </c>
      <c r="H8" s="53">
        <f>Data!O33+G8</f>
        <v>1378</v>
      </c>
      <c r="I8" s="53">
        <f>Data!P33+H8</f>
        <v>1743</v>
      </c>
      <c r="J8" s="53">
        <f>Data!Q33+I8</f>
        <v>2114</v>
      </c>
      <c r="K8" s="53">
        <f>Data!R33+J8</f>
        <v>2248</v>
      </c>
      <c r="L8" s="53">
        <f>Data!S33+K8</f>
        <v>2186</v>
      </c>
      <c r="M8" s="53">
        <f>Data!T33+L8</f>
        <v>2365</v>
      </c>
      <c r="N8" s="53"/>
      <c r="O8" s="53"/>
      <c r="P8" s="53"/>
      <c r="Q8" s="53"/>
      <c r="R8" s="53"/>
      <c r="S8" s="53"/>
    </row>
    <row r="9" spans="1:22" x14ac:dyDescent="0.2">
      <c r="A9" s="52" t="s">
        <v>65</v>
      </c>
      <c r="B9" s="52">
        <f>Data!M38</f>
        <v>376</v>
      </c>
      <c r="C9" s="53">
        <f>Data!N38+B9</f>
        <v>557</v>
      </c>
      <c r="D9" s="53">
        <f>Data!P38+C9</f>
        <v>656</v>
      </c>
      <c r="E9" s="53">
        <f>Data!Q38+D9</f>
        <v>680</v>
      </c>
      <c r="F9" s="53">
        <f>Data!R38+E9</f>
        <v>1189</v>
      </c>
      <c r="G9" s="53">
        <f>Data!S38+F9</f>
        <v>1612</v>
      </c>
      <c r="H9" s="53">
        <f>Data!U38+G9</f>
        <v>2050</v>
      </c>
      <c r="I9" s="53">
        <f>Data!V38+H9</f>
        <v>2168</v>
      </c>
      <c r="J9" s="53">
        <f>Data!W38+I9</f>
        <v>2400</v>
      </c>
      <c r="K9" s="53"/>
      <c r="L9" s="53"/>
      <c r="M9" s="53"/>
      <c r="N9" s="53"/>
      <c r="O9" s="53"/>
      <c r="P9" s="53"/>
      <c r="Q9" s="53"/>
      <c r="R9" s="53"/>
      <c r="S9" s="53"/>
    </row>
    <row r="10" spans="1:22" x14ac:dyDescent="0.2">
      <c r="A10" s="52" t="s">
        <v>70</v>
      </c>
      <c r="B10" s="52">
        <f>Data!J43</f>
        <v>131</v>
      </c>
      <c r="C10" s="53">
        <f>Data!L43+B10</f>
        <v>196</v>
      </c>
      <c r="D10" s="53">
        <f>Data!P43+C10</f>
        <v>334</v>
      </c>
      <c r="E10" s="53">
        <f>Data!Q43+D10</f>
        <v>340</v>
      </c>
      <c r="F10" s="53">
        <f>Data!S43+E10</f>
        <v>568</v>
      </c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</row>
    <row r="11" spans="1:22" x14ac:dyDescent="0.2">
      <c r="A11" s="52" t="s">
        <v>82</v>
      </c>
      <c r="B11" s="52">
        <f>Data!D48</f>
        <v>-99</v>
      </c>
      <c r="C11" s="53">
        <f>Data!F48+B11</f>
        <v>405</v>
      </c>
      <c r="D11" s="53">
        <f>Data!G48+C11</f>
        <v>741</v>
      </c>
      <c r="E11" s="53">
        <f>Data!H48+D11</f>
        <v>984</v>
      </c>
      <c r="F11" s="53">
        <f>Data!K48+E11</f>
        <v>1404</v>
      </c>
      <c r="G11" s="53">
        <f>Data!L48+F11</f>
        <v>1354</v>
      </c>
      <c r="H11" s="53">
        <f>Data!M48+G11</f>
        <v>1547</v>
      </c>
      <c r="I11" s="53">
        <f>Data!N48+H11</f>
        <v>1556</v>
      </c>
      <c r="J11" s="53">
        <f>Data!Q48+I11</f>
        <v>1533</v>
      </c>
      <c r="K11" s="53">
        <f>Data!R48+J11</f>
        <v>1509</v>
      </c>
      <c r="L11" s="53"/>
      <c r="M11" s="53"/>
      <c r="N11" s="53"/>
      <c r="O11" s="53"/>
      <c r="P11" s="53"/>
      <c r="Q11" s="53"/>
      <c r="R11" s="53"/>
      <c r="S11" s="53"/>
    </row>
    <row r="12" spans="1:22" x14ac:dyDescent="0.2">
      <c r="A12" s="52" t="s">
        <v>87</v>
      </c>
      <c r="B12" s="52">
        <f>Data!D53</f>
        <v>-97</v>
      </c>
      <c r="C12" s="53">
        <f>Data!E53+B12</f>
        <v>-50</v>
      </c>
      <c r="D12" s="53">
        <f>Data!F53+C12</f>
        <v>326</v>
      </c>
      <c r="E12" s="53">
        <f>Data!H53+D12</f>
        <v>678</v>
      </c>
      <c r="F12" s="53">
        <f>Data!I53+E12</f>
        <v>813</v>
      </c>
      <c r="G12" s="53">
        <f>Data!J53+F12</f>
        <v>961</v>
      </c>
      <c r="H12" s="53">
        <f>Data!K53+G12</f>
        <v>1247</v>
      </c>
      <c r="I12" s="53">
        <f>Data!L53+H12</f>
        <v>1389</v>
      </c>
      <c r="J12" s="53">
        <f>Data!M53+I12</f>
        <v>1636</v>
      </c>
      <c r="K12" s="53">
        <f>Data!N53+J12</f>
        <v>1958</v>
      </c>
      <c r="L12" s="53">
        <f>Data!O53+K12</f>
        <v>2206</v>
      </c>
      <c r="M12" s="53">
        <f>Data!P53+L12</f>
        <v>2202</v>
      </c>
      <c r="N12" s="53">
        <f>Data!Q53+M12</f>
        <v>2167</v>
      </c>
      <c r="O12" s="53"/>
      <c r="P12" s="53"/>
      <c r="Q12" s="53"/>
      <c r="R12" s="53"/>
      <c r="S12" s="53"/>
    </row>
    <row r="13" spans="1:22" x14ac:dyDescent="0.2">
      <c r="A13" s="52" t="s">
        <v>90</v>
      </c>
      <c r="B13" s="52">
        <f>Data!D58</f>
        <v>168</v>
      </c>
      <c r="C13" s="53">
        <f>Data!E58+B13</f>
        <v>70</v>
      </c>
      <c r="D13" s="53">
        <f>Data!G58+C13</f>
        <v>98</v>
      </c>
      <c r="E13" s="53">
        <f>Data!I58+D13</f>
        <v>94</v>
      </c>
      <c r="F13" s="53">
        <f>Data!J58+E13</f>
        <v>268</v>
      </c>
      <c r="G13" s="53">
        <f>Data!K58+F13</f>
        <v>585</v>
      </c>
      <c r="H13" s="53">
        <f>Data!L58+G13</f>
        <v>589</v>
      </c>
      <c r="I13" s="53">
        <f>Data!M58+H13</f>
        <v>490</v>
      </c>
      <c r="J13" s="53">
        <f>Data!O58+I13</f>
        <v>425</v>
      </c>
      <c r="K13" s="53">
        <f>Data!P58+J13</f>
        <v>909</v>
      </c>
      <c r="L13" s="53">
        <f>Data!Q58+K13</f>
        <v>884</v>
      </c>
      <c r="M13" s="53"/>
      <c r="N13" s="53"/>
      <c r="O13" s="53"/>
      <c r="P13" s="53"/>
      <c r="Q13" s="53"/>
      <c r="R13" s="53"/>
      <c r="S13" s="53"/>
    </row>
    <row r="15" spans="1:22" x14ac:dyDescent="0.2">
      <c r="A15" s="189" t="s">
        <v>95</v>
      </c>
      <c r="B15" s="194" t="s">
        <v>96</v>
      </c>
      <c r="C15" s="194"/>
      <c r="D15" s="53" t="s">
        <v>97</v>
      </c>
      <c r="E15" s="53" t="s">
        <v>63</v>
      </c>
    </row>
    <row r="16" spans="1:22" x14ac:dyDescent="0.2">
      <c r="A16" s="189"/>
      <c r="B16" s="194" t="s">
        <v>65</v>
      </c>
      <c r="C16" s="194"/>
      <c r="D16" s="53">
        <v>2</v>
      </c>
      <c r="E16" s="53">
        <f ca="1">SUMIF($B$16:C16, B16,$D$16:D16)</f>
        <v>2</v>
      </c>
    </row>
    <row r="17" spans="1:5" x14ac:dyDescent="0.2">
      <c r="A17" s="189"/>
      <c r="B17" s="194" t="s">
        <v>82</v>
      </c>
      <c r="C17" s="194"/>
      <c r="D17" s="53">
        <v>3</v>
      </c>
      <c r="E17" s="53">
        <f ca="1">SUMIF($B$16:C17, B17,$D$16:D17)</f>
        <v>3</v>
      </c>
    </row>
    <row r="18" spans="1:5" x14ac:dyDescent="0.2">
      <c r="A18" s="189"/>
      <c r="B18" s="194" t="s">
        <v>65</v>
      </c>
      <c r="C18" s="194"/>
      <c r="D18" s="53">
        <v>4</v>
      </c>
      <c r="E18" s="53">
        <f ca="1">SUMIF($B$16:C18, B18,$D$16:D18)</f>
        <v>6</v>
      </c>
    </row>
    <row r="19" spans="1:5" x14ac:dyDescent="0.2">
      <c r="A19" s="189"/>
      <c r="B19" s="194" t="s">
        <v>11</v>
      </c>
      <c r="C19" s="194"/>
      <c r="D19" s="53">
        <v>11</v>
      </c>
      <c r="E19" s="53">
        <f ca="1">SUMIF($B$16:C19, B19,$D$16:D19)</f>
        <v>11</v>
      </c>
    </row>
  </sheetData>
  <mergeCells count="6">
    <mergeCell ref="A15:A19"/>
    <mergeCell ref="B15:C15"/>
    <mergeCell ref="B16:C16"/>
    <mergeCell ref="B17:C17"/>
    <mergeCell ref="B18:C18"/>
    <mergeCell ref="B19:C19"/>
  </mergeCells>
  <conditionalFormatting sqref="B2:B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3 O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 P6:P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U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0"/>
  <dimension ref="A1:S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baseColWidth="10" defaultColWidth="10.83203125" defaultRowHeight="16" x14ac:dyDescent="0.2"/>
  <cols>
    <col min="1" max="1" width="8.1640625" style="52" customWidth="1"/>
    <col min="2" max="18" width="4.83203125" style="52" customWidth="1"/>
    <col min="19" max="19" width="4.83203125" style="115" customWidth="1"/>
    <col min="20" max="16384" width="10.83203125" style="52"/>
  </cols>
  <sheetData>
    <row r="1" spans="1:19" x14ac:dyDescent="0.2">
      <c r="A1" s="52" t="s">
        <v>13</v>
      </c>
      <c r="B1" s="52">
        <v>1</v>
      </c>
      <c r="C1" s="52">
        <v>2</v>
      </c>
      <c r="D1" s="52">
        <v>3</v>
      </c>
      <c r="E1" s="52">
        <v>4</v>
      </c>
      <c r="F1" s="52">
        <v>5</v>
      </c>
      <c r="G1" s="52">
        <v>6</v>
      </c>
      <c r="H1" s="52">
        <v>7</v>
      </c>
      <c r="I1" s="52">
        <v>8</v>
      </c>
      <c r="J1" s="52">
        <v>9</v>
      </c>
      <c r="K1" s="52">
        <v>10</v>
      </c>
      <c r="L1" s="52">
        <v>11</v>
      </c>
      <c r="M1" s="52">
        <v>12</v>
      </c>
      <c r="N1" s="52">
        <v>13</v>
      </c>
      <c r="O1" s="52">
        <v>14</v>
      </c>
      <c r="P1" s="52">
        <v>15</v>
      </c>
      <c r="Q1" s="52">
        <v>16</v>
      </c>
      <c r="R1" s="52">
        <v>17</v>
      </c>
      <c r="S1" s="115">
        <v>18</v>
      </c>
    </row>
    <row r="2" spans="1:19" x14ac:dyDescent="0.2">
      <c r="A2" s="52" t="s">
        <v>11</v>
      </c>
      <c r="B2" s="52">
        <f>Data!D4</f>
        <v>-3</v>
      </c>
      <c r="C2" s="53">
        <f>Data!E4+B2</f>
        <v>20</v>
      </c>
      <c r="D2" s="53">
        <f>Data!F4+C2</f>
        <v>71</v>
      </c>
      <c r="E2" s="53">
        <f>Data!G4+D2</f>
        <v>26</v>
      </c>
      <c r="F2" s="53">
        <f>Data!H4+E2</f>
        <v>-62</v>
      </c>
      <c r="G2" s="53">
        <f>Data!I4+F2</f>
        <v>-23</v>
      </c>
      <c r="H2" s="53">
        <f>Data!J4+G2</f>
        <v>189</v>
      </c>
      <c r="I2" s="53">
        <f>Data!K4+H2</f>
        <v>552</v>
      </c>
      <c r="J2" s="53">
        <f>Data!L4+I2</f>
        <v>930</v>
      </c>
      <c r="K2" s="53">
        <f>Data!M4+J2</f>
        <v>1274</v>
      </c>
      <c r="L2" s="53">
        <f>Data!N4+K2</f>
        <v>1747</v>
      </c>
      <c r="M2" s="53">
        <f>Data!O4+L2</f>
        <v>1896</v>
      </c>
      <c r="N2" s="53">
        <f>Data!P4+M2</f>
        <v>2330</v>
      </c>
      <c r="O2" s="53">
        <f>Data!Q4+N2</f>
        <v>2482</v>
      </c>
      <c r="P2" s="53">
        <f>Data!R4+O2</f>
        <v>2643</v>
      </c>
      <c r="Q2" s="115">
        <f>Data!S4+P2</f>
        <v>2708</v>
      </c>
      <c r="R2" s="115">
        <f>Data!T4+Q2</f>
        <v>2853</v>
      </c>
      <c r="S2" s="115">
        <f>Data!X4+R2</f>
        <v>3039</v>
      </c>
    </row>
    <row r="3" spans="1:19" x14ac:dyDescent="0.2">
      <c r="A3" s="52" t="s">
        <v>12</v>
      </c>
      <c r="B3" s="52">
        <f>Data!F9</f>
        <v>497</v>
      </c>
      <c r="C3" s="53">
        <f>Data!G9+B3</f>
        <v>950</v>
      </c>
      <c r="D3" s="53">
        <f>Data!H9+C3</f>
        <v>1448</v>
      </c>
      <c r="E3" s="53">
        <f>Data!I9+D3</f>
        <v>1929</v>
      </c>
      <c r="F3" s="53">
        <f>Data!J9+E3</f>
        <v>1987</v>
      </c>
      <c r="G3" s="53">
        <f>Data!K9+F3</f>
        <v>2496</v>
      </c>
      <c r="H3" s="53">
        <f>Data!L9+G3</f>
        <v>3011</v>
      </c>
      <c r="I3" s="53">
        <f>Data!M9+H3</f>
        <v>3488</v>
      </c>
      <c r="J3" s="53">
        <f>Data!N9+I3</f>
        <v>4040</v>
      </c>
      <c r="K3" s="53">
        <f>Data!O9+J3</f>
        <v>4472</v>
      </c>
      <c r="L3" s="53">
        <f>Data!P9+K3</f>
        <v>4557</v>
      </c>
      <c r="M3" s="53">
        <f>Data!Q9+L3</f>
        <v>4503</v>
      </c>
      <c r="N3" s="53">
        <f>Data!R9+M3</f>
        <v>5053</v>
      </c>
      <c r="O3" s="53">
        <f>Data!S9+N3</f>
        <v>5506</v>
      </c>
      <c r="P3" s="115">
        <f>Data!T9+O3</f>
        <v>5937</v>
      </c>
      <c r="Q3" s="124">
        <f>Data!U9+P3</f>
        <v>6275</v>
      </c>
      <c r="R3" s="115"/>
    </row>
    <row r="4" spans="1:19" x14ac:dyDescent="0.2">
      <c r="A4" s="52" t="s">
        <v>16</v>
      </c>
      <c r="B4" s="52">
        <f>Data!E14</f>
        <v>-14</v>
      </c>
      <c r="C4" s="53">
        <f>Data!G14+B4</f>
        <v>-48</v>
      </c>
      <c r="D4" s="53">
        <f>Data!H14+C4</f>
        <v>99</v>
      </c>
      <c r="E4" s="53">
        <f>Data!I14+D4</f>
        <v>384</v>
      </c>
      <c r="F4" s="53">
        <f>Data!J14+E4</f>
        <v>465</v>
      </c>
      <c r="G4" s="53">
        <f>Data!K14+F4</f>
        <v>441</v>
      </c>
      <c r="H4" s="53">
        <f>Data!L14+G4</f>
        <v>774</v>
      </c>
      <c r="I4" s="53">
        <f>Data!M14+H4</f>
        <v>821</v>
      </c>
      <c r="J4" s="53">
        <f>Data!N14+I4</f>
        <v>791</v>
      </c>
      <c r="K4" s="53">
        <f>Data!O14+J4</f>
        <v>700</v>
      </c>
      <c r="L4" s="53">
        <f>Data!P14+K4</f>
        <v>675</v>
      </c>
      <c r="M4" s="53">
        <f>Data!Q14+L4</f>
        <v>649</v>
      </c>
      <c r="N4" s="53">
        <f>Data!R14+M4</f>
        <v>580</v>
      </c>
      <c r="O4" s="53"/>
      <c r="P4" s="53"/>
      <c r="Q4" s="115"/>
      <c r="R4" s="115"/>
    </row>
    <row r="5" spans="1:19" x14ac:dyDescent="0.2">
      <c r="A5" s="52" t="s">
        <v>17</v>
      </c>
      <c r="B5" s="52">
        <f>Data!D19</f>
        <v>21</v>
      </c>
      <c r="C5" s="53">
        <f>Data!E19+B5</f>
        <v>326</v>
      </c>
      <c r="D5" s="53">
        <f>Data!F19+C5</f>
        <v>417</v>
      </c>
      <c r="E5" s="53">
        <f>Data!G19+D5</f>
        <v>577</v>
      </c>
      <c r="F5" s="53">
        <f>Data!H19+E5</f>
        <v>550</v>
      </c>
      <c r="G5" s="53">
        <f>Data!I19+F5</f>
        <v>637</v>
      </c>
      <c r="H5" s="53">
        <f>Data!J19+G5</f>
        <v>936</v>
      </c>
      <c r="I5" s="53">
        <f>Data!K19+H5</f>
        <v>1239</v>
      </c>
      <c r="J5" s="53">
        <f>Data!L19+I5</f>
        <v>1561</v>
      </c>
      <c r="K5" s="53">
        <f>Data!M19+J5</f>
        <v>2040</v>
      </c>
      <c r="L5" s="53">
        <f>Data!N19+K5</f>
        <v>2392</v>
      </c>
      <c r="M5" s="53">
        <f>Data!O19+L5</f>
        <v>2846</v>
      </c>
      <c r="N5" s="53">
        <f>Data!P19+M5</f>
        <v>3054</v>
      </c>
      <c r="O5" s="53">
        <f>Data!Q19+N5</f>
        <v>3151</v>
      </c>
      <c r="P5" s="115">
        <f>Data!R19+O5</f>
        <v>3375</v>
      </c>
      <c r="Q5" s="124">
        <f>Data!S19+P5</f>
        <v>3719</v>
      </c>
      <c r="R5" s="124"/>
    </row>
    <row r="6" spans="1:19" x14ac:dyDescent="0.2">
      <c r="A6" s="52" t="s">
        <v>20</v>
      </c>
      <c r="B6" s="52">
        <f>Data!D24</f>
        <v>171</v>
      </c>
      <c r="C6" s="53">
        <f>Data!E24+B6</f>
        <v>520</v>
      </c>
      <c r="D6" s="53">
        <f>Data!F24+C6</f>
        <v>948</v>
      </c>
      <c r="E6" s="53">
        <f>Data!G24+D6</f>
        <v>1082</v>
      </c>
      <c r="F6" s="53">
        <f>Data!I24+E6</f>
        <v>1566</v>
      </c>
      <c r="G6" s="53">
        <f>Data!J24+F6</f>
        <v>1880</v>
      </c>
      <c r="H6" s="53">
        <f>Data!K24+G6</f>
        <v>2349</v>
      </c>
      <c r="I6" s="53">
        <f>Data!L24+H6</f>
        <v>2700</v>
      </c>
      <c r="J6" s="53"/>
      <c r="K6" s="53"/>
      <c r="L6" s="53"/>
      <c r="M6" s="53"/>
      <c r="N6" s="53"/>
      <c r="O6" s="53"/>
      <c r="P6" s="53"/>
      <c r="Q6" s="115"/>
      <c r="R6" s="115"/>
    </row>
    <row r="7" spans="1:19" x14ac:dyDescent="0.2">
      <c r="A7" s="52" t="s">
        <v>49</v>
      </c>
      <c r="B7" s="52">
        <f>Data!F29</f>
        <v>-40</v>
      </c>
      <c r="C7" s="53">
        <f>Data!G29+B7</f>
        <v>-90</v>
      </c>
      <c r="D7" s="53">
        <f>Data!M29+C7</f>
        <v>188</v>
      </c>
      <c r="E7" s="53">
        <f>Data!N29+D7</f>
        <v>433</v>
      </c>
      <c r="F7" s="53">
        <f>Data!O29+E7</f>
        <v>563</v>
      </c>
      <c r="G7" s="53">
        <f>Data!P29+F7</f>
        <v>734</v>
      </c>
      <c r="H7" s="53">
        <f>Data!Q29+G7</f>
        <v>889</v>
      </c>
      <c r="I7" s="53">
        <f>Data!R29+H7</f>
        <v>1069</v>
      </c>
      <c r="J7" s="53">
        <f>Data!S29+I7</f>
        <v>1292</v>
      </c>
      <c r="K7" s="53">
        <f>Data!U29+J7</f>
        <v>1304</v>
      </c>
      <c r="L7" s="53">
        <f>Data!W29+K7</f>
        <v>1314</v>
      </c>
      <c r="M7" s="53">
        <f>Data!Y29+L7</f>
        <v>1409</v>
      </c>
      <c r="N7" s="53">
        <f>Data!Z29+M7</f>
        <v>1405</v>
      </c>
      <c r="O7" s="53"/>
      <c r="P7" s="53"/>
      <c r="Q7" s="115"/>
      <c r="R7" s="115"/>
    </row>
    <row r="8" spans="1:19" x14ac:dyDescent="0.2">
      <c r="A8" s="52" t="s">
        <v>57</v>
      </c>
      <c r="B8" s="52">
        <f>Data!D34</f>
        <v>-99</v>
      </c>
      <c r="C8" s="53">
        <f>Data!E34+B8</f>
        <v>26</v>
      </c>
      <c r="D8" s="53">
        <f>Data!F34+C8</f>
        <v>49</v>
      </c>
      <c r="E8" s="53">
        <f>Data!G34+D8</f>
        <v>468</v>
      </c>
      <c r="F8" s="53">
        <f>Data!H34+E8</f>
        <v>506</v>
      </c>
      <c r="G8" s="53">
        <f>Data!I34+F8</f>
        <v>644</v>
      </c>
      <c r="H8" s="53">
        <f>Data!J34+G8</f>
        <v>1158</v>
      </c>
      <c r="I8" s="53">
        <f>Data!K34+H8</f>
        <v>1492</v>
      </c>
      <c r="J8" s="53">
        <f>Data!L34+I8</f>
        <v>1890</v>
      </c>
      <c r="K8" s="53">
        <f>Data!M34+J8</f>
        <v>2433</v>
      </c>
      <c r="L8" s="53">
        <f>Data!N34+K8</f>
        <v>2550</v>
      </c>
      <c r="M8" s="53">
        <f>Data!O34+L8</f>
        <v>2716</v>
      </c>
      <c r="N8" s="53">
        <f>Data!R34+M8</f>
        <v>2723</v>
      </c>
      <c r="O8" s="53">
        <f>Data!S34+N8</f>
        <v>2624</v>
      </c>
      <c r="P8" s="53">
        <f>Data!T34+O8</f>
        <v>2607</v>
      </c>
      <c r="Q8" s="115"/>
      <c r="R8" s="115"/>
    </row>
    <row r="9" spans="1:19" x14ac:dyDescent="0.2">
      <c r="A9" s="52" t="s">
        <v>65</v>
      </c>
      <c r="B9" s="52">
        <f>Data!E39</f>
        <v>-91</v>
      </c>
      <c r="C9" s="53">
        <f>Data!F39+B9</f>
        <v>89</v>
      </c>
      <c r="D9" s="53">
        <f>Data!G39+C9</f>
        <v>101</v>
      </c>
      <c r="E9" s="53">
        <f>Data!H39+D9</f>
        <v>382</v>
      </c>
      <c r="F9" s="53">
        <f>Data!I39+E9</f>
        <v>736</v>
      </c>
      <c r="G9" s="53">
        <f>Data!J39+F9</f>
        <v>1045</v>
      </c>
      <c r="H9" s="53">
        <f>Data!L39+G9</f>
        <v>1035</v>
      </c>
      <c r="I9" s="53">
        <f>Data!M39+H9</f>
        <v>1164</v>
      </c>
      <c r="J9" s="53">
        <f>Data!N39+I9</f>
        <v>1093</v>
      </c>
      <c r="K9" s="53">
        <f>Data!P39+J9</f>
        <v>994</v>
      </c>
      <c r="L9" s="53">
        <f>Data!Q39+K9</f>
        <v>1294</v>
      </c>
      <c r="M9" s="53">
        <f>Data!R39+L9</f>
        <v>1255</v>
      </c>
      <c r="N9" s="53">
        <f>Data!S39+M9</f>
        <v>1447</v>
      </c>
      <c r="O9" s="53">
        <f>Data!T39+N9</f>
        <v>1559</v>
      </c>
      <c r="P9" s="53">
        <f>Data!U39+O9</f>
        <v>1711</v>
      </c>
      <c r="Q9" s="115">
        <f>Data!V39+P9</f>
        <v>1612</v>
      </c>
      <c r="R9" s="115">
        <f>Data!W39+Q9</f>
        <v>1517</v>
      </c>
    </row>
    <row r="10" spans="1:19" x14ac:dyDescent="0.2">
      <c r="A10" s="52" t="s">
        <v>70</v>
      </c>
      <c r="B10" s="52">
        <f>Data!D44</f>
        <v>-22</v>
      </c>
      <c r="C10" s="53">
        <f>Data!G44+B10</f>
        <v>-22</v>
      </c>
      <c r="D10" s="53">
        <f>Data!H44+C10</f>
        <v>126</v>
      </c>
      <c r="E10" s="53">
        <f>Data!J44+D10</f>
        <v>244</v>
      </c>
      <c r="F10" s="53">
        <f>Data!K44+E10</f>
        <v>669</v>
      </c>
      <c r="G10" s="53">
        <f>Data!L44+F10</f>
        <v>869</v>
      </c>
      <c r="H10" s="53">
        <f>Data!N44+G10</f>
        <v>820</v>
      </c>
      <c r="I10" s="53">
        <f>Data!O44+H10</f>
        <v>857</v>
      </c>
      <c r="J10" s="53">
        <f>Data!R44+I10</f>
        <v>840</v>
      </c>
      <c r="K10" s="53">
        <f>Data!S44+J10</f>
        <v>746</v>
      </c>
      <c r="L10" s="53"/>
      <c r="M10" s="53"/>
      <c r="N10" s="53"/>
      <c r="O10" s="53"/>
      <c r="P10" s="53"/>
      <c r="Q10" s="53"/>
      <c r="R10" s="53"/>
    </row>
    <row r="11" spans="1:19" x14ac:dyDescent="0.2">
      <c r="A11" s="52" t="s">
        <v>82</v>
      </c>
      <c r="B11" s="52">
        <f>Data!E49</f>
        <v>508</v>
      </c>
      <c r="C11" s="53">
        <f>Data!F49+B11</f>
        <v>863</v>
      </c>
      <c r="D11" s="53">
        <f>Data!G49+C11</f>
        <v>1132</v>
      </c>
      <c r="E11" s="53">
        <f>Data!H49+D11</f>
        <v>1628</v>
      </c>
      <c r="F11" s="53">
        <f>Data!I49+E11</f>
        <v>1648</v>
      </c>
      <c r="G11" s="53">
        <f>Data!J49+F11</f>
        <v>2052</v>
      </c>
      <c r="H11" s="53">
        <f>Data!K49+G11</f>
        <v>2517</v>
      </c>
      <c r="I11" s="53">
        <f>Data!L49+H11</f>
        <v>2570</v>
      </c>
      <c r="J11" s="53">
        <f>Data!N49+I11</f>
        <v>2521</v>
      </c>
      <c r="K11" s="53">
        <f>Data!Q49+J11</f>
        <v>2502</v>
      </c>
      <c r="L11" s="53">
        <f>Data!R49+K11</f>
        <v>2497</v>
      </c>
      <c r="M11" s="53">
        <f>Data!S49+L11</f>
        <v>2482</v>
      </c>
      <c r="N11" s="53"/>
      <c r="O11" s="53"/>
      <c r="P11" s="53"/>
      <c r="Q11" s="53"/>
      <c r="R11" s="53"/>
    </row>
    <row r="12" spans="1:19" x14ac:dyDescent="0.2">
      <c r="A12" s="52" t="s">
        <v>87</v>
      </c>
      <c r="B12" s="52">
        <f>Data!E54</f>
        <v>47</v>
      </c>
      <c r="C12" s="53">
        <f>Data!F54+B12</f>
        <v>212</v>
      </c>
      <c r="D12" s="53">
        <f>Data!G54+C12</f>
        <v>186</v>
      </c>
      <c r="E12" s="53">
        <f>Data!H54+D12</f>
        <v>88</v>
      </c>
      <c r="F12" s="53">
        <f>Data!I54+E12</f>
        <v>136</v>
      </c>
      <c r="G12" s="53">
        <f>Data!J54+F12</f>
        <v>395</v>
      </c>
      <c r="H12" s="53">
        <f>Data!K54+G12</f>
        <v>349</v>
      </c>
      <c r="I12" s="53">
        <f>Data!L54+H12</f>
        <v>579</v>
      </c>
      <c r="J12" s="53">
        <f>Data!M54+I12</f>
        <v>598</v>
      </c>
      <c r="K12" s="53">
        <f>Data!N54+J12</f>
        <v>725</v>
      </c>
      <c r="L12" s="53">
        <f>Data!O54+K12</f>
        <v>688</v>
      </c>
      <c r="M12" s="53">
        <f>Data!P54+L12</f>
        <v>742</v>
      </c>
      <c r="N12" s="53">
        <f>Data!Q54+M12</f>
        <v>951</v>
      </c>
      <c r="O12" s="53"/>
      <c r="P12" s="53"/>
      <c r="Q12" s="53"/>
      <c r="R12" s="53"/>
    </row>
    <row r="13" spans="1:19" x14ac:dyDescent="0.2">
      <c r="A13" s="52" t="s">
        <v>90</v>
      </c>
      <c r="B13" s="52">
        <f>Data!E59</f>
        <v>73</v>
      </c>
      <c r="C13" s="53">
        <f>Data!F59+B13</f>
        <v>226</v>
      </c>
      <c r="D13" s="53">
        <f>Data!G59+C13</f>
        <v>453</v>
      </c>
      <c r="E13" s="53">
        <f>Data!H59+D13</f>
        <v>589</v>
      </c>
      <c r="F13" s="53">
        <f>Data!I59+E13</f>
        <v>789</v>
      </c>
      <c r="G13" s="53">
        <f>Data!J59+F13</f>
        <v>738</v>
      </c>
      <c r="H13" s="53">
        <f>Data!K59+G13</f>
        <v>1053</v>
      </c>
      <c r="I13" s="53">
        <f>Data!M59+H13</f>
        <v>958</v>
      </c>
      <c r="J13" s="53">
        <f>Data!O59+I13</f>
        <v>942</v>
      </c>
      <c r="K13" s="53"/>
      <c r="L13" s="53"/>
      <c r="M13" s="53"/>
      <c r="N13" s="53"/>
      <c r="O13" s="53"/>
      <c r="P13" s="53"/>
      <c r="Q13" s="53"/>
      <c r="R13" s="53"/>
    </row>
    <row r="15" spans="1:19" x14ac:dyDescent="0.2">
      <c r="A15" s="189" t="s">
        <v>95</v>
      </c>
      <c r="B15" s="194" t="s">
        <v>96</v>
      </c>
      <c r="C15" s="194"/>
      <c r="D15" s="53" t="s">
        <v>97</v>
      </c>
      <c r="E15" s="53" t="s">
        <v>63</v>
      </c>
    </row>
    <row r="16" spans="1:19" x14ac:dyDescent="0.2">
      <c r="A16" s="189"/>
      <c r="B16" s="194" t="s">
        <v>82</v>
      </c>
      <c r="C16" s="194"/>
      <c r="D16" s="53">
        <v>1</v>
      </c>
      <c r="E16" s="53">
        <f ca="1">SUMIF($B$16:C16, B16,$D$16:D16)</f>
        <v>1</v>
      </c>
    </row>
    <row r="17" spans="1:5" x14ac:dyDescent="0.2">
      <c r="A17" s="189"/>
      <c r="B17" s="194" t="s">
        <v>12</v>
      </c>
      <c r="C17" s="194"/>
      <c r="D17" s="53">
        <v>13</v>
      </c>
      <c r="E17" s="53">
        <f ca="1">SUMIF($B$16:C17, B17,$D$16:D17)</f>
        <v>13</v>
      </c>
    </row>
    <row r="18" spans="1:5" x14ac:dyDescent="0.2">
      <c r="A18" s="189"/>
      <c r="B18" s="194" t="s">
        <v>11</v>
      </c>
      <c r="C18" s="194"/>
      <c r="D18" s="53">
        <v>3</v>
      </c>
      <c r="E18" s="53">
        <f ca="1">SUMIF($B$16:C18, B18,$D$16:D18)</f>
        <v>3</v>
      </c>
    </row>
  </sheetData>
  <mergeCells count="5">
    <mergeCell ref="A15:A18"/>
    <mergeCell ref="B15:C15"/>
    <mergeCell ref="B16:C16"/>
    <mergeCell ref="B17:C17"/>
    <mergeCell ref="B18:C18"/>
  </mergeCells>
  <conditionalFormatting sqref="B2:B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 P2 P6:P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Q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3 S2:S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 Q2 Q6:Q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 Q2 Q6:Q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 R2 R6:R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 R6:R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4 Q6:Q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1"/>
  <dimension ref="A1:U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17" sqref="T17"/>
    </sheetView>
  </sheetViews>
  <sheetFormatPr baseColWidth="10" defaultColWidth="10.83203125" defaultRowHeight="16" x14ac:dyDescent="0.2"/>
  <cols>
    <col min="1" max="1" width="8.33203125" style="52" customWidth="1"/>
    <col min="2" max="21" width="5.1640625" style="52" customWidth="1"/>
    <col min="22" max="16384" width="10.83203125" style="52"/>
  </cols>
  <sheetData>
    <row r="1" spans="1:21" x14ac:dyDescent="0.2">
      <c r="A1" s="52" t="s">
        <v>13</v>
      </c>
      <c r="B1" s="52">
        <v>1</v>
      </c>
      <c r="C1" s="52">
        <v>2</v>
      </c>
      <c r="D1" s="52">
        <v>3</v>
      </c>
      <c r="E1" s="52">
        <v>4</v>
      </c>
      <c r="F1" s="52">
        <v>5</v>
      </c>
      <c r="G1" s="52">
        <v>6</v>
      </c>
      <c r="H1" s="52">
        <v>7</v>
      </c>
      <c r="I1" s="52">
        <v>8</v>
      </c>
      <c r="J1" s="52">
        <v>9</v>
      </c>
      <c r="K1" s="52">
        <v>10</v>
      </c>
      <c r="L1" s="52">
        <v>11</v>
      </c>
      <c r="M1" s="52">
        <v>12</v>
      </c>
      <c r="N1" s="52">
        <v>13</v>
      </c>
      <c r="O1" s="52">
        <v>14</v>
      </c>
      <c r="P1" s="52">
        <v>15</v>
      </c>
      <c r="Q1" s="52">
        <v>16</v>
      </c>
      <c r="R1" s="52">
        <v>17</v>
      </c>
      <c r="S1" s="52">
        <v>18</v>
      </c>
      <c r="T1" s="52">
        <v>19</v>
      </c>
      <c r="U1" s="52">
        <v>20</v>
      </c>
    </row>
    <row r="2" spans="1:21" x14ac:dyDescent="0.2">
      <c r="A2" s="52" t="s">
        <v>11</v>
      </c>
      <c r="B2" s="52">
        <f>Data!D5</f>
        <v>-58</v>
      </c>
      <c r="C2" s="53">
        <f>Data!E5+B2</f>
        <v>-63</v>
      </c>
      <c r="D2" s="53">
        <f>Data!F5+C2</f>
        <v>171</v>
      </c>
      <c r="E2" s="53">
        <f>Data!G5+D2</f>
        <v>72</v>
      </c>
      <c r="F2" s="53">
        <f>Data!H5+E2</f>
        <v>539</v>
      </c>
      <c r="G2" s="53">
        <f>Data!I5+F2</f>
        <v>911</v>
      </c>
      <c r="H2" s="53">
        <f>Data!J5+G2</f>
        <v>1430</v>
      </c>
      <c r="I2" s="53">
        <f>Data!K5+H2</f>
        <v>1908</v>
      </c>
      <c r="J2" s="53">
        <f>Data!L5+I2</f>
        <v>2443</v>
      </c>
      <c r="K2" s="53">
        <f>Data!M5+J2</f>
        <v>2740</v>
      </c>
      <c r="L2" s="53">
        <f>Data!N5+K2</f>
        <v>3291</v>
      </c>
      <c r="M2" s="53">
        <f>Data!O5+L2</f>
        <v>3428</v>
      </c>
      <c r="N2" s="53">
        <f>Data!P5+M2</f>
        <v>3664</v>
      </c>
      <c r="O2" s="53">
        <f>Data!Q5+N2</f>
        <v>4168</v>
      </c>
      <c r="P2" s="53">
        <f>Data!R5+O2</f>
        <v>4121</v>
      </c>
      <c r="Q2" s="53">
        <f>Data!S5+P2</f>
        <v>4497</v>
      </c>
      <c r="R2" s="53">
        <f>Data!T5+Q2</f>
        <v>4898</v>
      </c>
      <c r="S2" s="53">
        <f>Data!U5+R2</f>
        <v>5131</v>
      </c>
      <c r="T2" s="53">
        <f>Data!V5+S2</f>
        <v>5647</v>
      </c>
      <c r="U2" s="53">
        <f>Data!W5+T2</f>
        <v>5832</v>
      </c>
    </row>
    <row r="3" spans="1:21" x14ac:dyDescent="0.2">
      <c r="A3" s="52" t="s">
        <v>12</v>
      </c>
      <c r="B3" s="52">
        <f>Data!D10</f>
        <v>15</v>
      </c>
      <c r="C3" s="53">
        <f>Data!F10+B3</f>
        <v>7</v>
      </c>
      <c r="D3" s="53">
        <f>Data!G10+C3</f>
        <v>274</v>
      </c>
      <c r="E3" s="53">
        <f>Data!H10+D3</f>
        <v>740</v>
      </c>
      <c r="F3" s="53">
        <f>Data!I10+E3</f>
        <v>1192</v>
      </c>
      <c r="G3" s="53">
        <f>Data!K10+F3</f>
        <v>1623</v>
      </c>
      <c r="H3" s="53">
        <f>Data!L10+G3</f>
        <v>1955</v>
      </c>
      <c r="I3" s="53">
        <f>Data!M10+H3</f>
        <v>1876</v>
      </c>
      <c r="J3" s="53">
        <f>Data!N10+I3</f>
        <v>1777</v>
      </c>
      <c r="K3" s="53">
        <f>Data!O10+J3</f>
        <v>1812</v>
      </c>
      <c r="L3" s="53">
        <f>Data!P10+K3</f>
        <v>1771</v>
      </c>
      <c r="M3" s="53">
        <f>Data!R10+L3</f>
        <v>1883</v>
      </c>
      <c r="N3" s="53">
        <f>Data!S10+M3</f>
        <v>2037</v>
      </c>
      <c r="O3" s="53"/>
      <c r="P3" s="53"/>
      <c r="Q3" s="53"/>
      <c r="R3" s="53"/>
      <c r="S3" s="53"/>
      <c r="T3" s="53"/>
      <c r="U3" s="53"/>
    </row>
    <row r="4" spans="1:21" x14ac:dyDescent="0.2">
      <c r="A4" s="52" t="s">
        <v>16</v>
      </c>
      <c r="B4" s="52">
        <f>Data!E15</f>
        <v>-99</v>
      </c>
      <c r="C4" s="53">
        <f>Data!F15+B4</f>
        <v>-140</v>
      </c>
      <c r="D4" s="53">
        <f>Data!G15+C4</f>
        <v>-163</v>
      </c>
      <c r="E4" s="53">
        <f>Data!H15+D4</f>
        <v>128</v>
      </c>
      <c r="F4" s="53">
        <f>Data!I15+E4</f>
        <v>508</v>
      </c>
      <c r="G4" s="53">
        <f>Data!J15+F4</f>
        <v>1023</v>
      </c>
      <c r="H4" s="53">
        <f>Data!K15+G4</f>
        <v>1336</v>
      </c>
      <c r="I4" s="53">
        <f>Data!L15+H4</f>
        <v>1560</v>
      </c>
      <c r="J4" s="53">
        <f>Data!M15+I4</f>
        <v>1957</v>
      </c>
      <c r="K4" s="53">
        <f>Data!N15+J4</f>
        <v>2421</v>
      </c>
      <c r="L4" s="53">
        <f>Data!O15+K4</f>
        <v>2794</v>
      </c>
      <c r="M4" s="53">
        <f>Data!P15+L4</f>
        <v>3073</v>
      </c>
      <c r="N4" s="53">
        <f>Data!Q15+M4</f>
        <v>3104</v>
      </c>
      <c r="O4" s="53">
        <f>Data!R15+N4</f>
        <v>3006</v>
      </c>
      <c r="P4" s="53"/>
      <c r="Q4" s="53"/>
      <c r="R4" s="53"/>
      <c r="S4" s="53"/>
      <c r="T4" s="53"/>
      <c r="U4" s="53"/>
    </row>
    <row r="5" spans="1:21" x14ac:dyDescent="0.2">
      <c r="A5" s="52" t="s">
        <v>17</v>
      </c>
      <c r="B5" s="52">
        <f>Data!D19</f>
        <v>21</v>
      </c>
      <c r="C5" s="53">
        <f>Data!E19+B5</f>
        <v>326</v>
      </c>
      <c r="D5" s="53">
        <f>Data!F19+C5</f>
        <v>417</v>
      </c>
      <c r="E5" s="53">
        <f>Data!G19+D5</f>
        <v>577</v>
      </c>
      <c r="F5" s="53">
        <f>Data!H19+E5</f>
        <v>550</v>
      </c>
      <c r="G5" s="53">
        <f>Data!I19+F5</f>
        <v>637</v>
      </c>
      <c r="H5" s="53">
        <f>Data!J19+G5</f>
        <v>936</v>
      </c>
      <c r="I5" s="53">
        <f>Data!K19+H5</f>
        <v>1239</v>
      </c>
      <c r="J5" s="53">
        <f>Data!L19+I5</f>
        <v>1561</v>
      </c>
      <c r="K5" s="53">
        <f>Data!M19+J5</f>
        <v>2040</v>
      </c>
      <c r="L5" s="53">
        <f>Data!N19+K5</f>
        <v>2392</v>
      </c>
      <c r="M5" s="53">
        <f>Data!O19+L5</f>
        <v>2846</v>
      </c>
      <c r="N5" s="53">
        <f>Data!P19+M5</f>
        <v>3054</v>
      </c>
      <c r="O5" s="53">
        <f>Data!Q19+N5</f>
        <v>3151</v>
      </c>
      <c r="P5" s="53"/>
      <c r="Q5" s="53"/>
      <c r="R5" s="53"/>
      <c r="S5" s="53"/>
      <c r="T5" s="53"/>
      <c r="U5" s="53"/>
    </row>
    <row r="6" spans="1:21" x14ac:dyDescent="0.2">
      <c r="A6" s="52" t="s">
        <v>20</v>
      </c>
      <c r="B6" s="52">
        <f>Data!D25</f>
        <v>91</v>
      </c>
      <c r="C6" s="53">
        <f>Data!E25+B6</f>
        <v>100</v>
      </c>
      <c r="D6" s="53">
        <f>Data!F25+C6</f>
        <v>284</v>
      </c>
      <c r="E6" s="53">
        <f>Data!G25+D6</f>
        <v>750</v>
      </c>
      <c r="F6" s="53">
        <f>Data!H25+E6</f>
        <v>1322</v>
      </c>
      <c r="G6" s="53">
        <f>Data!I25+F6</f>
        <v>1764</v>
      </c>
      <c r="H6" s="53">
        <f>Data!J25+G6</f>
        <v>2303</v>
      </c>
      <c r="I6" s="53">
        <f>Data!K25+H6</f>
        <v>2773</v>
      </c>
      <c r="J6" s="53">
        <f>Data!L25+I6</f>
        <v>3292</v>
      </c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</row>
    <row r="7" spans="1:21" x14ac:dyDescent="0.2">
      <c r="A7" s="52" t="s">
        <v>49</v>
      </c>
      <c r="B7" s="52">
        <f>Data!F30</f>
        <v>262</v>
      </c>
      <c r="C7" s="53">
        <f>Data!G30+B7</f>
        <v>272</v>
      </c>
      <c r="D7" s="53">
        <f>Data!H30+C7</f>
        <v>835</v>
      </c>
      <c r="E7" s="53">
        <f>Data!I30+D7</f>
        <v>1251</v>
      </c>
      <c r="F7" s="53">
        <f>Data!J30+E7</f>
        <v>1342</v>
      </c>
      <c r="G7" s="53">
        <f>Data!K30+F7</f>
        <v>1662</v>
      </c>
      <c r="H7" s="53">
        <f>Data!L30+G7</f>
        <v>2097</v>
      </c>
      <c r="I7" s="53">
        <f>Data!M30+H7</f>
        <v>2353</v>
      </c>
      <c r="J7" s="53">
        <f>Data!N30+I7</f>
        <v>2610</v>
      </c>
      <c r="K7" s="53">
        <f>Data!O30+J7</f>
        <v>2861</v>
      </c>
      <c r="L7" s="53">
        <f>Data!P30+K7</f>
        <v>3327</v>
      </c>
      <c r="M7" s="53">
        <f>Data!Q30+L7</f>
        <v>3412</v>
      </c>
      <c r="N7" s="53">
        <f>Data!R30+M7</f>
        <v>3648</v>
      </c>
      <c r="O7" s="53">
        <f>Data!S30+N7</f>
        <v>3797</v>
      </c>
      <c r="P7" s="53">
        <f>Data!T30+O7</f>
        <v>3770</v>
      </c>
      <c r="Q7" s="53">
        <f>Data!U30+P7</f>
        <v>3974</v>
      </c>
      <c r="R7" s="53">
        <f>Data!V30+Q7</f>
        <v>3900</v>
      </c>
      <c r="S7" s="53">
        <f>Data!W30+R7</f>
        <v>3891</v>
      </c>
      <c r="T7" s="53">
        <f>Data!Y30+S7</f>
        <v>3950</v>
      </c>
      <c r="U7" s="53">
        <f>Data!Z30+T7</f>
        <v>3864</v>
      </c>
    </row>
    <row r="8" spans="1:21" x14ac:dyDescent="0.2">
      <c r="A8" s="52" t="s">
        <v>57</v>
      </c>
      <c r="B8" s="52">
        <f>Data!E35</f>
        <v>-46</v>
      </c>
      <c r="C8" s="53">
        <f>Data!F35+B8</f>
        <v>-2</v>
      </c>
      <c r="D8" s="53">
        <f>Data!G35+C8</f>
        <v>-101</v>
      </c>
      <c r="E8" s="53">
        <f>Data!I35+D8</f>
        <v>4</v>
      </c>
      <c r="F8" s="53">
        <f>Data!J35+E8</f>
        <v>203</v>
      </c>
      <c r="G8" s="53">
        <f>Data!K35+F8</f>
        <v>272</v>
      </c>
      <c r="H8" s="53">
        <f>Data!L35+G8</f>
        <v>587</v>
      </c>
      <c r="I8" s="53">
        <f>Data!M35+H8</f>
        <v>914</v>
      </c>
      <c r="J8" s="53">
        <f>Data!N35+I8</f>
        <v>1175</v>
      </c>
      <c r="K8" s="53">
        <f>Data!O35+J8</f>
        <v>1285</v>
      </c>
      <c r="L8" s="53">
        <f>Data!P35+K8</f>
        <v>1407</v>
      </c>
      <c r="M8" s="53">
        <f>Data!Q35+L8</f>
        <v>1420</v>
      </c>
      <c r="N8" s="53">
        <f>Data!S35+M8</f>
        <v>1397</v>
      </c>
      <c r="O8" s="53"/>
      <c r="P8" s="53"/>
      <c r="Q8" s="53"/>
      <c r="R8" s="53"/>
      <c r="S8" s="53"/>
      <c r="T8" s="53"/>
      <c r="U8" s="53"/>
    </row>
    <row r="9" spans="1:21" x14ac:dyDescent="0.2">
      <c r="A9" s="52" t="s">
        <v>65</v>
      </c>
      <c r="B9" s="52">
        <f>Data!E40</f>
        <v>-9</v>
      </c>
      <c r="C9" s="53">
        <f>Data!I40+B9</f>
        <v>138</v>
      </c>
      <c r="D9" s="53">
        <f>Data!J40+C9</f>
        <v>596</v>
      </c>
      <c r="E9" s="53">
        <f>Data!K40+D9</f>
        <v>763</v>
      </c>
      <c r="F9" s="53">
        <f>Data!L40+E9</f>
        <v>895</v>
      </c>
      <c r="G9" s="53">
        <f>Data!M40+F9</f>
        <v>1100</v>
      </c>
      <c r="H9" s="53">
        <f>Data!N40+G9</f>
        <v>1001</v>
      </c>
      <c r="I9" s="53">
        <f>Data!P40+H9</f>
        <v>974</v>
      </c>
      <c r="J9" s="53">
        <f>Data!Q40+I9</f>
        <v>1305</v>
      </c>
      <c r="K9" s="53">
        <f>Data!R40+J9</f>
        <v>1515</v>
      </c>
      <c r="L9" s="53">
        <f>Data!S40+K9</f>
        <v>1708</v>
      </c>
      <c r="M9" s="53">
        <f>Data!T40+L9</f>
        <v>1642</v>
      </c>
      <c r="N9" s="53">
        <f>Data!U40+M9</f>
        <v>1680</v>
      </c>
      <c r="O9" s="53">
        <f>Data!X40+N9</f>
        <v>1739</v>
      </c>
      <c r="P9" s="53"/>
      <c r="Q9" s="53"/>
      <c r="R9" s="53"/>
      <c r="S9" s="53"/>
      <c r="T9" s="53"/>
      <c r="U9" s="53"/>
    </row>
    <row r="10" spans="1:21" x14ac:dyDescent="0.2">
      <c r="A10" s="52" t="s">
        <v>70</v>
      </c>
      <c r="B10" s="52">
        <f>Data!D45</f>
        <v>252</v>
      </c>
      <c r="C10" s="53">
        <f>Data!E45+B10</f>
        <v>153</v>
      </c>
      <c r="D10" s="53">
        <f>Data!F45+C10</f>
        <v>284</v>
      </c>
      <c r="E10" s="53">
        <f>Data!G45+D10</f>
        <v>560</v>
      </c>
      <c r="F10" s="53">
        <f>Data!H45+E10</f>
        <v>1100</v>
      </c>
      <c r="G10" s="53">
        <f>Data!I45+F10</f>
        <v>1450</v>
      </c>
      <c r="H10" s="53">
        <f>Data!J45+G10</f>
        <v>1809</v>
      </c>
      <c r="I10" s="53">
        <f>Data!K45+H10</f>
        <v>2263</v>
      </c>
      <c r="J10" s="53">
        <f>Data!L45+I10</f>
        <v>2269</v>
      </c>
      <c r="K10" s="53">
        <f>Data!O45+J10</f>
        <v>2232</v>
      </c>
      <c r="L10" s="53">
        <f>Data!P45+K10</f>
        <v>2503</v>
      </c>
      <c r="M10" s="53">
        <f>Data!Q45+L10</f>
        <v>2404</v>
      </c>
      <c r="N10" s="53">
        <f>Data!R45+M10</f>
        <v>2441</v>
      </c>
      <c r="O10" s="53">
        <f>Data!S45+N10</f>
        <v>2650</v>
      </c>
      <c r="P10" s="53"/>
      <c r="Q10" s="53"/>
      <c r="R10" s="53"/>
      <c r="S10" s="53"/>
      <c r="T10" s="53"/>
      <c r="U10" s="53"/>
    </row>
    <row r="11" spans="1:21" x14ac:dyDescent="0.2">
      <c r="A11" s="52" t="s">
        <v>82</v>
      </c>
      <c r="B11" s="52">
        <f>Data!D50</f>
        <v>1</v>
      </c>
      <c r="C11" s="53">
        <f>Data!E50+B11</f>
        <v>112</v>
      </c>
      <c r="D11" s="53">
        <f>Data!F50+C11</f>
        <v>118</v>
      </c>
      <c r="E11" s="53">
        <f>Data!G50+D11</f>
        <v>86</v>
      </c>
      <c r="F11" s="53">
        <f>Data!H50+E11</f>
        <v>9</v>
      </c>
      <c r="G11" s="53">
        <f>Data!I50+F11</f>
        <v>-37</v>
      </c>
      <c r="H11" s="53">
        <f>Data!J50+G11</f>
        <v>183</v>
      </c>
      <c r="I11" s="53">
        <f>Data!K50+H11</f>
        <v>304</v>
      </c>
      <c r="J11" s="53">
        <f>Data!L50+I11</f>
        <v>431</v>
      </c>
      <c r="K11" s="53">
        <f>Data!R50+J11</f>
        <v>436</v>
      </c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 x14ac:dyDescent="0.2">
      <c r="A12" s="52" t="s">
        <v>87</v>
      </c>
      <c r="B12" s="52">
        <f>Data!D55</f>
        <v>51</v>
      </c>
      <c r="C12" s="53">
        <f>Data!E55+B12</f>
        <v>83</v>
      </c>
      <c r="D12" s="53">
        <f>Data!F55+C12</f>
        <v>145</v>
      </c>
      <c r="E12" s="53">
        <f>Data!G55+D12</f>
        <v>196</v>
      </c>
      <c r="F12" s="53">
        <f>Data!H55+E12</f>
        <v>426</v>
      </c>
      <c r="G12" s="53">
        <f>Data!I55+F12</f>
        <v>775</v>
      </c>
      <c r="H12" s="53">
        <f>Data!J55+G12</f>
        <v>1090</v>
      </c>
      <c r="I12" s="53">
        <f>Data!K55+H12</f>
        <v>1525</v>
      </c>
      <c r="J12" s="53">
        <f>Data!L55+I12</f>
        <v>1701</v>
      </c>
      <c r="K12" s="53">
        <f>Data!M55+J12</f>
        <v>1707</v>
      </c>
      <c r="L12" s="53">
        <f>Data!N55+K12</f>
        <v>1876</v>
      </c>
      <c r="M12" s="53">
        <f>Data!O55+L12</f>
        <v>1778</v>
      </c>
      <c r="N12" s="53">
        <f>Data!P55+M12</f>
        <v>1692</v>
      </c>
      <c r="O12" s="53">
        <f>Data!Q55+N12</f>
        <v>1683</v>
      </c>
      <c r="P12" s="53"/>
      <c r="Q12" s="53"/>
      <c r="R12" s="53"/>
      <c r="S12" s="53"/>
      <c r="T12" s="53"/>
      <c r="U12" s="53"/>
    </row>
    <row r="13" spans="1:21" x14ac:dyDescent="0.2">
      <c r="A13" s="52" t="s">
        <v>90</v>
      </c>
      <c r="B13" s="52">
        <f>Data!D60</f>
        <v>35</v>
      </c>
      <c r="C13" s="53">
        <f>Data!E60+B13</f>
        <v>562</v>
      </c>
      <c r="D13" s="53">
        <f>Data!F60+C13</f>
        <v>1078</v>
      </c>
      <c r="E13" s="53">
        <f>Data!G60+D13</f>
        <v>1078</v>
      </c>
      <c r="F13" s="53">
        <f>Data!H60+E13</f>
        <v>1425</v>
      </c>
      <c r="G13" s="53">
        <f>Data!I60+F13</f>
        <v>1854</v>
      </c>
      <c r="H13" s="53">
        <f>Data!J60+G13</f>
        <v>2149</v>
      </c>
      <c r="I13" s="53">
        <f>Data!K60+H13</f>
        <v>2478</v>
      </c>
      <c r="J13" s="53">
        <f>Data!L60+I13</f>
        <v>2657</v>
      </c>
      <c r="K13" s="53">
        <f>Data!M60+J13</f>
        <v>2992</v>
      </c>
      <c r="L13" s="53">
        <f>Data!N60+K13</f>
        <v>3121</v>
      </c>
      <c r="M13" s="53">
        <f>Data!O60+L13</f>
        <v>3343</v>
      </c>
      <c r="N13" s="53">
        <f>Data!P60+M13</f>
        <v>3296</v>
      </c>
      <c r="O13" s="53">
        <f>Data!Q60+N13</f>
        <v>3466</v>
      </c>
      <c r="P13" s="53">
        <f>Data!S60+O13</f>
        <v>3615</v>
      </c>
      <c r="Q13" s="53"/>
      <c r="R13" s="53"/>
      <c r="S13" s="53"/>
      <c r="T13" s="53"/>
      <c r="U13" s="53"/>
    </row>
    <row r="15" spans="1:21" x14ac:dyDescent="0.2">
      <c r="A15" s="189" t="s">
        <v>95</v>
      </c>
      <c r="B15" s="194" t="s">
        <v>96</v>
      </c>
      <c r="C15" s="194"/>
      <c r="D15" s="53" t="s">
        <v>97</v>
      </c>
      <c r="E15" s="53" t="s">
        <v>63</v>
      </c>
    </row>
    <row r="16" spans="1:21" x14ac:dyDescent="0.2">
      <c r="A16" s="189"/>
      <c r="B16" s="194" t="s">
        <v>49</v>
      </c>
      <c r="C16" s="194"/>
      <c r="D16" s="53">
        <v>1</v>
      </c>
      <c r="E16" s="53">
        <f ca="1">SUMIF($B$16:C16, B16,$D$16:D16)</f>
        <v>1</v>
      </c>
    </row>
    <row r="17" spans="1:5" x14ac:dyDescent="0.2">
      <c r="A17" s="189"/>
      <c r="B17" s="194" t="s">
        <v>90</v>
      </c>
      <c r="C17" s="194"/>
      <c r="D17" s="53">
        <v>2</v>
      </c>
      <c r="E17" s="53">
        <f ca="1">SUMIF($B$16:C17, B17,$D$16:D17)</f>
        <v>2</v>
      </c>
    </row>
    <row r="18" spans="1:5" x14ac:dyDescent="0.2">
      <c r="A18" s="189"/>
      <c r="B18" s="194" t="s">
        <v>49</v>
      </c>
      <c r="C18" s="194"/>
      <c r="D18" s="53">
        <v>1</v>
      </c>
      <c r="E18" s="53">
        <f ca="1">SUMIF($B$16:C18, B18,$D$16:D18)</f>
        <v>2</v>
      </c>
    </row>
    <row r="19" spans="1:5" x14ac:dyDescent="0.2">
      <c r="A19" s="189"/>
      <c r="B19" s="194" t="s">
        <v>90</v>
      </c>
      <c r="C19" s="194"/>
      <c r="D19" s="53">
        <v>2</v>
      </c>
      <c r="E19" s="53">
        <f ca="1">SUMIF($B$16:C19, B19,$D$16:D19)</f>
        <v>4</v>
      </c>
    </row>
    <row r="20" spans="1:5" x14ac:dyDescent="0.2">
      <c r="A20" s="189"/>
      <c r="B20" s="194" t="s">
        <v>20</v>
      </c>
      <c r="C20" s="194"/>
      <c r="D20" s="53">
        <v>3</v>
      </c>
      <c r="E20" s="53">
        <f ca="1">SUMIF($B$16:C20, B20,$D$16:D20)</f>
        <v>3</v>
      </c>
    </row>
    <row r="21" spans="1:5" x14ac:dyDescent="0.2">
      <c r="A21" s="189"/>
      <c r="B21" s="194" t="s">
        <v>90</v>
      </c>
      <c r="C21" s="194"/>
      <c r="D21" s="53">
        <v>1</v>
      </c>
      <c r="E21" s="53">
        <f ca="1">SUMIF($B$16:C21, B21,$D$16:D21)</f>
        <v>5</v>
      </c>
    </row>
    <row r="22" spans="1:5" x14ac:dyDescent="0.2">
      <c r="A22" s="189"/>
      <c r="B22" s="194" t="s">
        <v>49</v>
      </c>
      <c r="C22" s="194"/>
      <c r="D22" s="53">
        <v>1</v>
      </c>
      <c r="E22" s="53">
        <f ca="1">SUMIF($B$16:C22, B22,$D$16:D22)</f>
        <v>3</v>
      </c>
    </row>
    <row r="23" spans="1:5" x14ac:dyDescent="0.2">
      <c r="A23" s="189"/>
      <c r="B23" s="194" t="s">
        <v>11</v>
      </c>
      <c r="C23" s="194"/>
      <c r="D23" s="53">
        <v>9</v>
      </c>
      <c r="E23" s="53">
        <f ca="1">SUMIF($B$16:C23, B23,$D$16:D23)</f>
        <v>9</v>
      </c>
    </row>
  </sheetData>
  <mergeCells count="10">
    <mergeCell ref="A15:A23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</mergeCells>
  <conditionalFormatting sqref="B2:B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2"/>
  <dimension ref="A1:X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19" sqref="Y19"/>
    </sheetView>
  </sheetViews>
  <sheetFormatPr baseColWidth="10" defaultColWidth="11.1640625" defaultRowHeight="16" x14ac:dyDescent="0.2"/>
  <cols>
    <col min="1" max="1" width="8.33203125" customWidth="1"/>
    <col min="2" max="23" width="5.1640625" customWidth="1"/>
  </cols>
  <sheetData>
    <row r="1" spans="1:24" x14ac:dyDescent="0.2">
      <c r="A1" s="52" t="s">
        <v>13</v>
      </c>
      <c r="B1" s="52">
        <v>1</v>
      </c>
      <c r="C1" s="52">
        <v>2</v>
      </c>
      <c r="D1" s="52">
        <v>3</v>
      </c>
      <c r="E1" s="52">
        <v>4</v>
      </c>
      <c r="F1" s="52">
        <v>5</v>
      </c>
      <c r="G1" s="52">
        <v>6</v>
      </c>
      <c r="H1" s="52">
        <v>7</v>
      </c>
      <c r="I1" s="52">
        <v>8</v>
      </c>
      <c r="J1" s="52">
        <v>9</v>
      </c>
      <c r="K1" s="52">
        <v>10</v>
      </c>
      <c r="L1" s="52">
        <v>11</v>
      </c>
      <c r="M1" s="52">
        <v>12</v>
      </c>
      <c r="N1" s="52">
        <v>13</v>
      </c>
      <c r="O1" s="52">
        <v>14</v>
      </c>
      <c r="P1" s="52">
        <v>15</v>
      </c>
      <c r="Q1" s="52">
        <v>16</v>
      </c>
      <c r="R1" s="52">
        <v>17</v>
      </c>
      <c r="S1" s="52">
        <v>18</v>
      </c>
      <c r="T1" s="52">
        <v>19</v>
      </c>
      <c r="U1" s="52">
        <v>20</v>
      </c>
      <c r="V1" s="52">
        <v>21</v>
      </c>
      <c r="W1" s="52">
        <v>22</v>
      </c>
    </row>
    <row r="2" spans="1:24" x14ac:dyDescent="0.2">
      <c r="A2" s="52" t="s">
        <v>11</v>
      </c>
      <c r="B2" s="52">
        <f>Data!E6</f>
        <v>-10</v>
      </c>
      <c r="C2" s="53">
        <f>Data!F6+B2</f>
        <v>93</v>
      </c>
      <c r="D2" s="53">
        <f>Data!G6+C2</f>
        <v>144</v>
      </c>
      <c r="E2" s="53">
        <f>Data!H6+D2</f>
        <v>227</v>
      </c>
      <c r="F2" s="53">
        <f>Data!I6+E2</f>
        <v>772</v>
      </c>
      <c r="G2" s="53">
        <f>Data!J6+F2</f>
        <v>1283</v>
      </c>
      <c r="H2" s="53">
        <f>Data!K6+G2</f>
        <v>1688</v>
      </c>
      <c r="I2" s="53">
        <f>Data!L6+H2</f>
        <v>2069</v>
      </c>
      <c r="J2" s="53">
        <f>Data!M6+I2</f>
        <v>2462</v>
      </c>
      <c r="K2" s="53">
        <f>Data!N6+J2</f>
        <v>2863</v>
      </c>
      <c r="L2" s="53">
        <f>Data!O6+K2</f>
        <v>3068</v>
      </c>
      <c r="M2" s="53">
        <f>Data!P6+L2</f>
        <v>3366</v>
      </c>
      <c r="N2" s="53">
        <f>Data!Q6+M2</f>
        <v>3481</v>
      </c>
      <c r="O2" s="53">
        <f>Data!R6+N2</f>
        <v>3589</v>
      </c>
      <c r="P2" s="53">
        <f>Data!S6+O2</f>
        <v>3841</v>
      </c>
      <c r="Q2" s="53">
        <f>Data!T6+P2</f>
        <v>4311</v>
      </c>
      <c r="R2" s="53">
        <f>Data!V6+Q2</f>
        <v>4464</v>
      </c>
      <c r="S2" s="53"/>
      <c r="T2" s="53"/>
      <c r="U2" s="53"/>
      <c r="V2" s="53"/>
      <c r="W2" s="53"/>
    </row>
    <row r="3" spans="1:24" x14ac:dyDescent="0.2">
      <c r="A3" s="52" t="s">
        <v>12</v>
      </c>
      <c r="B3" s="52">
        <f>Data!D11</f>
        <v>17</v>
      </c>
      <c r="C3" s="53">
        <f>Data!E11+B3</f>
        <v>16</v>
      </c>
      <c r="D3" s="53">
        <f>Data!F11+C3</f>
        <v>-33</v>
      </c>
      <c r="E3" s="53">
        <f>Data!G11+D3</f>
        <v>-18</v>
      </c>
      <c r="F3" s="53">
        <f>Data!H11+E3</f>
        <v>38</v>
      </c>
      <c r="G3" s="53">
        <f>Data!I11+F3</f>
        <v>193</v>
      </c>
      <c r="H3" s="53">
        <f>Data!J11+G3</f>
        <v>506</v>
      </c>
      <c r="I3" s="53">
        <f>Data!K11+H3</f>
        <v>1036</v>
      </c>
      <c r="J3" s="53">
        <f>Data!L11+I3</f>
        <v>1298</v>
      </c>
      <c r="K3" s="53">
        <f>Data!N11+J3</f>
        <v>1762</v>
      </c>
      <c r="L3" s="53">
        <f>Data!P11+K3</f>
        <v>1823</v>
      </c>
      <c r="M3" s="53">
        <f>Data!Q11+L3</f>
        <v>1866</v>
      </c>
      <c r="N3" s="53">
        <f>Data!R11+M3</f>
        <v>2164</v>
      </c>
      <c r="O3" s="53"/>
      <c r="P3" s="53"/>
      <c r="Q3" s="53"/>
      <c r="R3" s="53"/>
      <c r="S3" s="53"/>
      <c r="T3" s="53"/>
      <c r="U3" s="53"/>
      <c r="V3" s="53"/>
      <c r="W3" s="53"/>
    </row>
    <row r="4" spans="1:24" x14ac:dyDescent="0.2">
      <c r="A4" s="52" t="s">
        <v>16</v>
      </c>
      <c r="B4" s="52">
        <f>Data!D16</f>
        <v>-69</v>
      </c>
      <c r="C4" s="53">
        <f>Data!E16+B4</f>
        <v>88</v>
      </c>
      <c r="D4" s="53">
        <f>Data!F16+C4</f>
        <v>591</v>
      </c>
      <c r="E4" s="53">
        <f>Data!G16+D4</f>
        <v>717</v>
      </c>
      <c r="F4" s="53">
        <f>Data!H16+E4</f>
        <v>1014</v>
      </c>
      <c r="G4" s="53">
        <f>Data!I16+F4</f>
        <v>1492</v>
      </c>
      <c r="H4" s="53">
        <f>Data!J16+G4</f>
        <v>1517</v>
      </c>
      <c r="I4" s="53">
        <f>Data!K16+H4</f>
        <v>1951</v>
      </c>
      <c r="J4" s="53">
        <f>Data!L16+I4</f>
        <v>2418</v>
      </c>
      <c r="K4" s="53">
        <f>Data!M16+J4</f>
        <v>2424</v>
      </c>
      <c r="L4" s="53">
        <f>Data!N16+K4</f>
        <v>2603</v>
      </c>
      <c r="M4" s="53">
        <f>Data!P16+L4</f>
        <v>2867</v>
      </c>
      <c r="N4" s="53">
        <f>Data!Q16+M4</f>
        <v>3263</v>
      </c>
      <c r="O4" s="53">
        <f>Data!R16+N4</f>
        <v>3775</v>
      </c>
      <c r="P4" s="53"/>
      <c r="Q4" s="53"/>
      <c r="R4" s="53"/>
      <c r="S4" s="53"/>
      <c r="T4" s="53"/>
      <c r="U4" s="53"/>
      <c r="V4" s="53"/>
      <c r="W4" s="53"/>
    </row>
    <row r="5" spans="1:24" x14ac:dyDescent="0.2">
      <c r="A5" s="52" t="s">
        <v>17</v>
      </c>
      <c r="B5" s="52">
        <f>Data!D21</f>
        <v>87</v>
      </c>
      <c r="C5" s="53">
        <f>Data!E21+B5</f>
        <v>113</v>
      </c>
      <c r="D5" s="53">
        <f>Data!F21+C5</f>
        <v>496</v>
      </c>
      <c r="E5" s="53">
        <f>Data!G21+D5</f>
        <v>783</v>
      </c>
      <c r="F5" s="53">
        <f>Data!H21+E5</f>
        <v>1020</v>
      </c>
      <c r="G5" s="53">
        <f>Data!I21+F5</f>
        <v>1413</v>
      </c>
      <c r="H5" s="53">
        <f>Data!J21+G5</f>
        <v>1904</v>
      </c>
      <c r="I5" s="53">
        <f>Data!K21+H5</f>
        <v>2303</v>
      </c>
      <c r="J5" s="53">
        <f>Data!L21+I5</f>
        <v>2577</v>
      </c>
      <c r="K5" s="53">
        <f>Data!M21+J5</f>
        <v>2840</v>
      </c>
      <c r="L5" s="53">
        <f>Data!N21+K5</f>
        <v>3370</v>
      </c>
      <c r="M5" s="53">
        <f>Data!O21+L5</f>
        <v>3685</v>
      </c>
      <c r="N5" s="124">
        <f>Data!Q21+M5</f>
        <v>4160</v>
      </c>
      <c r="O5" s="124">
        <f>Data!R21+N5</f>
        <v>4205</v>
      </c>
      <c r="P5" s="124">
        <f>Data!S21+O5</f>
        <v>4314</v>
      </c>
      <c r="Q5" s="124"/>
      <c r="R5" s="53"/>
      <c r="S5" s="53"/>
      <c r="T5" s="53"/>
      <c r="U5" s="53"/>
      <c r="V5" s="53"/>
      <c r="W5" s="53"/>
    </row>
    <row r="6" spans="1:24" x14ac:dyDescent="0.2">
      <c r="A6" s="52" t="s">
        <v>20</v>
      </c>
      <c r="B6" s="52">
        <f>Data!D26</f>
        <v>96</v>
      </c>
      <c r="C6" s="53">
        <f>Data!E26+B6</f>
        <v>58</v>
      </c>
      <c r="D6" s="53">
        <f>Data!F26+C6</f>
        <v>375</v>
      </c>
      <c r="E6" s="53">
        <f>Data!G26+D6</f>
        <v>765</v>
      </c>
      <c r="F6" s="53">
        <f>Data!H26+E6</f>
        <v>768</v>
      </c>
      <c r="G6" s="53">
        <f>Data!I26+F6</f>
        <v>1134</v>
      </c>
      <c r="H6" s="53">
        <f>Data!J26+G6</f>
        <v>1215</v>
      </c>
      <c r="I6" s="53">
        <f>Data!K26+H6</f>
        <v>1647</v>
      </c>
      <c r="J6" s="53">
        <f>Data!L26+I6</f>
        <v>1953</v>
      </c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</row>
    <row r="7" spans="1:24" x14ac:dyDescent="0.2">
      <c r="A7" s="52" t="s">
        <v>49</v>
      </c>
      <c r="B7" s="52">
        <f>Data!D31</f>
        <v>-18</v>
      </c>
      <c r="C7" s="53">
        <f>Data!E31+B7</f>
        <v>-61</v>
      </c>
      <c r="D7" s="53">
        <f>Data!F31+C7</f>
        <v>-76</v>
      </c>
      <c r="E7" s="53">
        <f>Data!G31+D7</f>
        <v>130</v>
      </c>
      <c r="F7" s="53">
        <f>Data!H31+E7</f>
        <v>687</v>
      </c>
      <c r="G7" s="53">
        <f>Data!I31+F7</f>
        <v>1076</v>
      </c>
      <c r="H7" s="53">
        <f>Data!J31+G7</f>
        <v>1524</v>
      </c>
      <c r="I7" s="53">
        <f>Data!K31+H7</f>
        <v>1887</v>
      </c>
      <c r="J7" s="53">
        <f>Data!L31+I7</f>
        <v>2379</v>
      </c>
      <c r="K7" s="53">
        <f>Data!M31+J7</f>
        <v>2651</v>
      </c>
      <c r="L7" s="53">
        <f>Data!N31+K7</f>
        <v>2900</v>
      </c>
      <c r="M7" s="53">
        <f>Data!O31+L7</f>
        <v>3069</v>
      </c>
      <c r="N7" s="53">
        <f>Data!P31+M7</f>
        <v>3519</v>
      </c>
      <c r="O7" s="53">
        <f>Data!Q31+N7</f>
        <v>3995</v>
      </c>
      <c r="P7" s="53">
        <f>Data!R31+O7</f>
        <v>4275</v>
      </c>
      <c r="Q7" s="53">
        <f>Data!S31+P7</f>
        <v>4501</v>
      </c>
      <c r="R7" s="53">
        <f>Data!T31+Q7</f>
        <v>4431</v>
      </c>
      <c r="S7" s="53">
        <f>Data!U31+R7</f>
        <v>4668</v>
      </c>
      <c r="T7" s="53">
        <f>Data!V31+S7</f>
        <v>4709</v>
      </c>
      <c r="U7" s="53">
        <f>Data!W31+T7</f>
        <v>4882</v>
      </c>
      <c r="V7" s="53">
        <f>Data!Y31+U7</f>
        <v>5162</v>
      </c>
      <c r="W7" s="53">
        <f>Data!Z31+V7</f>
        <v>5200</v>
      </c>
      <c r="X7" s="50"/>
    </row>
    <row r="8" spans="1:24" x14ac:dyDescent="0.2">
      <c r="A8" s="52" t="s">
        <v>57</v>
      </c>
      <c r="B8" s="52">
        <f>Data!E36</f>
        <v>52</v>
      </c>
      <c r="C8" s="53">
        <f>Data!F36+B8</f>
        <v>156</v>
      </c>
      <c r="D8" s="53">
        <f>Data!G36+C8</f>
        <v>169</v>
      </c>
      <c r="E8" s="53">
        <f>Data!H36+D8</f>
        <v>553</v>
      </c>
      <c r="F8" s="53">
        <f>Data!I36+E8</f>
        <v>950</v>
      </c>
      <c r="G8" s="53">
        <f>Data!J36+F8</f>
        <v>1328</v>
      </c>
      <c r="H8" s="53">
        <f>Data!K36+G8</f>
        <v>1729</v>
      </c>
      <c r="I8" s="53">
        <f>Data!L36+H8</f>
        <v>2265</v>
      </c>
      <c r="J8" s="53">
        <f>Data!M36+I8</f>
        <v>2738</v>
      </c>
      <c r="K8" s="53">
        <f>Data!N36+J8</f>
        <v>3127</v>
      </c>
      <c r="L8" s="53">
        <f>Data!O36+K8</f>
        <v>3559</v>
      </c>
      <c r="M8" s="53">
        <f>Data!P36+L8</f>
        <v>3647</v>
      </c>
      <c r="N8" s="53">
        <f>Data!Q36+M8</f>
        <v>3983</v>
      </c>
      <c r="O8" s="53">
        <f>Data!R36+N8</f>
        <v>4193</v>
      </c>
      <c r="P8" s="53">
        <f>Data!S36+O8</f>
        <v>4094</v>
      </c>
      <c r="Q8" s="53">
        <f>Data!T36+P8</f>
        <v>4054</v>
      </c>
      <c r="R8" s="53"/>
      <c r="S8" s="53"/>
      <c r="T8" s="53"/>
      <c r="U8" s="53"/>
      <c r="V8" s="53"/>
      <c r="W8" s="53"/>
    </row>
    <row r="9" spans="1:24" x14ac:dyDescent="0.2">
      <c r="A9" s="52" t="s">
        <v>65</v>
      </c>
      <c r="B9" s="52">
        <f>Data!D41</f>
        <v>-99</v>
      </c>
      <c r="C9" s="53">
        <f>Data!E41+B9</f>
        <v>-110</v>
      </c>
      <c r="D9" s="53">
        <f>Data!F41+C9</f>
        <v>90</v>
      </c>
      <c r="E9" s="53">
        <f>Data!G41+D9</f>
        <v>200</v>
      </c>
      <c r="F9" s="53">
        <f>Data!H41+E9</f>
        <v>579</v>
      </c>
      <c r="G9" s="53">
        <f>Data!I41+F9</f>
        <v>532</v>
      </c>
      <c r="H9" s="53">
        <f>Data!J41+G9</f>
        <v>718</v>
      </c>
      <c r="I9" s="53">
        <f>Data!K41+H9</f>
        <v>657</v>
      </c>
      <c r="J9" s="53">
        <f>Data!L41+I9</f>
        <v>1165</v>
      </c>
      <c r="K9" s="53">
        <f>Data!M41+J9</f>
        <v>1525</v>
      </c>
      <c r="L9" s="53">
        <f>Data!N41+K9</f>
        <v>1714</v>
      </c>
      <c r="M9" s="53">
        <f>Data!O41+L9</f>
        <v>1760</v>
      </c>
      <c r="N9" s="53">
        <f>Data!P41+M9</f>
        <v>1881</v>
      </c>
      <c r="O9" s="53">
        <f>Data!Q41+N9</f>
        <v>2185</v>
      </c>
      <c r="P9" s="53">
        <f>Data!R41+O9</f>
        <v>2149</v>
      </c>
      <c r="Q9" s="53">
        <f>Data!S41+P9</f>
        <v>2252</v>
      </c>
      <c r="R9" s="53">
        <f>Data!T41+Q9</f>
        <v>2478</v>
      </c>
      <c r="S9" s="53">
        <f>Data!U41+R9</f>
        <v>2699</v>
      </c>
      <c r="T9" s="53">
        <f>Data!V41+S9</f>
        <v>2945</v>
      </c>
      <c r="U9" s="53">
        <f>Data!W41+T9</f>
        <v>3217</v>
      </c>
      <c r="V9" s="53">
        <f>Data!X41+U9</f>
        <v>3235</v>
      </c>
      <c r="W9" s="53"/>
    </row>
    <row r="10" spans="1:24" x14ac:dyDescent="0.2">
      <c r="A10" s="52" t="s">
        <v>70</v>
      </c>
      <c r="B10" s="52">
        <f>Data!D46</f>
        <v>139</v>
      </c>
      <c r="C10" s="53">
        <f>Data!E46+B10</f>
        <v>397</v>
      </c>
      <c r="D10" s="53">
        <f>Data!F46+C10</f>
        <v>877</v>
      </c>
      <c r="E10" s="53">
        <f>Data!G46+D10</f>
        <v>1316</v>
      </c>
      <c r="F10" s="53">
        <f>Data!H46+E10</f>
        <v>1750</v>
      </c>
      <c r="G10" s="53">
        <f>Data!I46+F10</f>
        <v>1978</v>
      </c>
      <c r="H10" s="53">
        <f>Data!J46+G10</f>
        <v>1994</v>
      </c>
      <c r="I10" s="53">
        <f>Data!K46+H10</f>
        <v>2418</v>
      </c>
      <c r="J10" s="53">
        <f>Data!L46+I10</f>
        <v>2755</v>
      </c>
      <c r="K10" s="53">
        <f>Data!M46+J10</f>
        <v>2735</v>
      </c>
      <c r="L10" s="53">
        <f>Data!N46+K10</f>
        <v>2942</v>
      </c>
      <c r="M10" s="53">
        <f>Data!O46+L10</f>
        <v>2907</v>
      </c>
      <c r="N10" s="53">
        <f>Data!P46+M10</f>
        <v>2809</v>
      </c>
      <c r="O10" s="53">
        <f>Data!Q46+N10</f>
        <v>3104</v>
      </c>
      <c r="P10" s="53">
        <f>Data!R46+O10</f>
        <v>3084</v>
      </c>
      <c r="Q10" s="53">
        <f>Data!S46+P10</f>
        <v>3113</v>
      </c>
      <c r="R10" s="53"/>
      <c r="S10" s="53"/>
      <c r="T10" s="53"/>
      <c r="U10" s="53"/>
      <c r="V10" s="53"/>
      <c r="W10" s="53"/>
    </row>
    <row r="11" spans="1:24" x14ac:dyDescent="0.2">
      <c r="A11" s="52" t="s">
        <v>82</v>
      </c>
      <c r="B11" s="52">
        <f>Data!E51</f>
        <v>115</v>
      </c>
      <c r="C11" s="53">
        <f>Data!F51+B11</f>
        <v>294</v>
      </c>
      <c r="D11" s="53">
        <f>Data!G51+C11</f>
        <v>448</v>
      </c>
      <c r="E11" s="53">
        <f>Data!H51+D11</f>
        <v>752</v>
      </c>
      <c r="F11" s="53">
        <f>Data!I51+E11</f>
        <v>825</v>
      </c>
      <c r="G11" s="53">
        <f>Data!J51+F11</f>
        <v>1051</v>
      </c>
      <c r="H11" s="53">
        <f>Data!K51+G11</f>
        <v>1555</v>
      </c>
      <c r="I11" s="53">
        <f>Data!L51+H11</f>
        <v>1535</v>
      </c>
      <c r="J11" s="53">
        <f>Data!M51+I11</f>
        <v>1527</v>
      </c>
      <c r="K11" s="53">
        <f>Data!P51+J11</f>
        <v>1605</v>
      </c>
      <c r="L11" s="53">
        <f>Data!Q51+K11</f>
        <v>1506</v>
      </c>
      <c r="M11" s="53">
        <f>Data!R51+L11</f>
        <v>1492</v>
      </c>
      <c r="N11" s="53"/>
      <c r="O11" s="53"/>
      <c r="P11" s="53"/>
      <c r="Q11" s="53"/>
      <c r="R11" s="53"/>
      <c r="S11" s="53"/>
      <c r="T11" s="53"/>
      <c r="U11" s="53"/>
      <c r="V11" s="53"/>
      <c r="W11" s="53"/>
    </row>
    <row r="12" spans="1:24" x14ac:dyDescent="0.2">
      <c r="A12" s="52" t="s">
        <v>87</v>
      </c>
      <c r="B12" s="52">
        <f>Data!D56</f>
        <v>-97</v>
      </c>
      <c r="C12" s="53">
        <f>Data!E56+B12</f>
        <v>-97</v>
      </c>
      <c r="D12" s="53">
        <f>Data!F56+C12</f>
        <v>92</v>
      </c>
      <c r="E12" s="53">
        <f>Data!G56+D12</f>
        <v>318</v>
      </c>
      <c r="F12" s="53">
        <f>Data!H56+E12</f>
        <v>598</v>
      </c>
      <c r="G12" s="53">
        <f>Data!I56+F12</f>
        <v>634</v>
      </c>
      <c r="H12" s="53">
        <f>Data!J56+G12</f>
        <v>676</v>
      </c>
      <c r="I12" s="53">
        <f>Data!K56+H12</f>
        <v>624</v>
      </c>
      <c r="J12" s="53">
        <f>Data!L56+I12</f>
        <v>997</v>
      </c>
      <c r="K12" s="53">
        <f>Data!M56+J12</f>
        <v>1543</v>
      </c>
      <c r="L12" s="53">
        <f>Data!N56+K12</f>
        <v>1526</v>
      </c>
      <c r="M12" s="53">
        <f>Data!O56+L12</f>
        <v>1473</v>
      </c>
      <c r="N12" s="53">
        <f>Data!P56+M12</f>
        <v>1511</v>
      </c>
      <c r="O12" s="53">
        <f>Data!Q56+N12</f>
        <v>1767</v>
      </c>
      <c r="P12" s="53"/>
      <c r="Q12" s="53"/>
      <c r="R12" s="53"/>
      <c r="S12" s="53"/>
      <c r="T12" s="53"/>
      <c r="U12" s="53"/>
      <c r="V12" s="53"/>
      <c r="W12" s="53"/>
    </row>
    <row r="13" spans="1:24" x14ac:dyDescent="0.2">
      <c r="A13" s="52" t="s">
        <v>90</v>
      </c>
      <c r="B13" s="52">
        <f>Data!E61</f>
        <v>-5</v>
      </c>
      <c r="C13" s="53">
        <f>Data!F61+B13</f>
        <v>111</v>
      </c>
      <c r="D13" s="53">
        <f>Data!G61+C13</f>
        <v>149</v>
      </c>
      <c r="E13" s="53">
        <f>Data!H61+D13</f>
        <v>131</v>
      </c>
      <c r="F13" s="53">
        <f>Data!I61+E13</f>
        <v>632</v>
      </c>
      <c r="G13" s="53">
        <f>Data!J61+F13</f>
        <v>953</v>
      </c>
      <c r="H13" s="53">
        <f>Data!K61+G13</f>
        <v>1048</v>
      </c>
      <c r="I13" s="53">
        <f>Data!L61+H13</f>
        <v>1132</v>
      </c>
      <c r="J13" s="53">
        <f>Data!M61+I13</f>
        <v>1180</v>
      </c>
      <c r="K13" s="53">
        <f>Data!N61+J13</f>
        <v>1132</v>
      </c>
      <c r="L13" s="53">
        <f>Data!O61+K13</f>
        <v>1299</v>
      </c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</row>
    <row r="15" spans="1:24" x14ac:dyDescent="0.2">
      <c r="A15" s="189" t="s">
        <v>95</v>
      </c>
      <c r="B15" s="194" t="s">
        <v>96</v>
      </c>
      <c r="C15" s="194"/>
      <c r="D15" s="53" t="s">
        <v>97</v>
      </c>
      <c r="E15" s="53" t="s">
        <v>63</v>
      </c>
    </row>
    <row r="16" spans="1:24" x14ac:dyDescent="0.2">
      <c r="A16" s="189"/>
      <c r="B16" s="194" t="s">
        <v>70</v>
      </c>
      <c r="C16" s="194"/>
      <c r="D16" s="53">
        <v>9</v>
      </c>
      <c r="E16" s="53">
        <f ca="1">SUMIF($B$16:C16, B16,$D$16:D16)</f>
        <v>9</v>
      </c>
    </row>
    <row r="17" spans="1:5" x14ac:dyDescent="0.2">
      <c r="A17" s="189"/>
      <c r="B17" s="194" t="s">
        <v>57</v>
      </c>
      <c r="C17" s="194"/>
      <c r="D17" s="53">
        <v>2</v>
      </c>
      <c r="E17" s="53">
        <f ca="1">SUMIF($B$16:C17, B17,$D$16:D17)</f>
        <v>2</v>
      </c>
    </row>
    <row r="18" spans="1:5" x14ac:dyDescent="0.2">
      <c r="A18" s="189"/>
      <c r="B18" s="194" t="s">
        <v>17</v>
      </c>
      <c r="C18" s="194"/>
      <c r="D18" s="53">
        <v>1</v>
      </c>
      <c r="E18" s="53">
        <f ca="1">SUMIF($B$16:C18, B18,$D$16:D18)</f>
        <v>1</v>
      </c>
    </row>
    <row r="19" spans="1:5" x14ac:dyDescent="0.2">
      <c r="A19" s="189"/>
      <c r="B19" s="194" t="s">
        <v>57</v>
      </c>
      <c r="C19" s="194"/>
      <c r="D19" s="53">
        <v>2</v>
      </c>
      <c r="E19" s="53">
        <f ca="1">SUMIF($B$16:C19, B19,$D$16:D19)</f>
        <v>4</v>
      </c>
    </row>
    <row r="20" spans="1:5" x14ac:dyDescent="0.2">
      <c r="A20" s="189"/>
      <c r="B20" s="194" t="s">
        <v>49</v>
      </c>
      <c r="C20" s="194"/>
      <c r="D20" s="53">
        <v>2</v>
      </c>
      <c r="E20" s="53">
        <f ca="1">SUMIF($B$16:C20, B20,$D$16:D20)</f>
        <v>2</v>
      </c>
    </row>
    <row r="21" spans="1:5" x14ac:dyDescent="0.2">
      <c r="A21" s="189"/>
      <c r="B21" s="194" t="s">
        <v>11</v>
      </c>
      <c r="C21" s="194"/>
      <c r="D21" s="53">
        <v>1</v>
      </c>
      <c r="E21" s="53">
        <f ca="1">SUMIF($B$16:C21, B21,$D$16:D21)</f>
        <v>1</v>
      </c>
    </row>
    <row r="22" spans="1:5" x14ac:dyDescent="0.2">
      <c r="A22" s="189"/>
      <c r="B22" s="194" t="s">
        <v>49</v>
      </c>
      <c r="C22" s="194"/>
      <c r="D22" s="53">
        <v>5</v>
      </c>
      <c r="E22" s="53">
        <f ca="1">SUMIF($B$16:C22, B22,$D$16:D22)</f>
        <v>7</v>
      </c>
    </row>
  </sheetData>
  <mergeCells count="9">
    <mergeCell ref="A15:A22"/>
    <mergeCell ref="B15:C15"/>
    <mergeCell ref="B16:C16"/>
    <mergeCell ref="B17:C17"/>
    <mergeCell ref="B18:C18"/>
    <mergeCell ref="B19:C19"/>
    <mergeCell ref="B20:C20"/>
    <mergeCell ref="B21:C21"/>
    <mergeCell ref="B22:C22"/>
  </mergeCells>
  <conditionalFormatting sqref="B2:B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 N6:N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 O6: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 P6:P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 Q6:Q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G216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7" sqref="I7"/>
    </sheetView>
  </sheetViews>
  <sheetFormatPr baseColWidth="10" defaultColWidth="10.83203125" defaultRowHeight="16" x14ac:dyDescent="0.2"/>
  <cols>
    <col min="1" max="1" width="10.33203125" style="13" customWidth="1"/>
    <col min="2" max="3" width="4.83203125" style="70" customWidth="1"/>
    <col min="4" max="52" width="4.83203125" style="13" customWidth="1"/>
    <col min="53" max="53" width="4.83203125" style="110" customWidth="1"/>
    <col min="54" max="54" width="4.83203125" style="125" customWidth="1"/>
    <col min="55" max="55" width="4.83203125" style="117" customWidth="1"/>
    <col min="56" max="57" width="4.83203125" style="136" customWidth="1"/>
    <col min="58" max="58" width="4.83203125" style="19" customWidth="1"/>
    <col min="59" max="16384" width="10.83203125" style="13"/>
  </cols>
  <sheetData>
    <row r="1" spans="1:59" ht="17" x14ac:dyDescent="0.2">
      <c r="A1" s="13" t="s">
        <v>13</v>
      </c>
      <c r="B1" s="70">
        <v>1968</v>
      </c>
      <c r="C1" s="70">
        <v>1969</v>
      </c>
      <c r="D1" s="13">
        <v>1970</v>
      </c>
      <c r="E1" s="13">
        <v>1971</v>
      </c>
      <c r="F1" s="13">
        <v>1972</v>
      </c>
      <c r="G1" s="13">
        <v>1973</v>
      </c>
      <c r="H1" s="13">
        <v>1974</v>
      </c>
      <c r="I1" s="13">
        <v>1975</v>
      </c>
      <c r="J1" s="13">
        <v>1976</v>
      </c>
      <c r="K1" s="13">
        <v>1977</v>
      </c>
      <c r="L1" s="13">
        <v>1978</v>
      </c>
      <c r="M1" s="13">
        <v>1979</v>
      </c>
      <c r="N1" s="13">
        <v>1980</v>
      </c>
      <c r="O1" s="13">
        <v>1981</v>
      </c>
      <c r="P1" s="13">
        <v>1982</v>
      </c>
      <c r="Q1" s="13">
        <v>1983</v>
      </c>
      <c r="R1" s="13">
        <v>1984</v>
      </c>
      <c r="S1" s="13">
        <v>1985</v>
      </c>
      <c r="T1" s="13">
        <v>1986</v>
      </c>
      <c r="U1" s="13">
        <v>1987</v>
      </c>
      <c r="V1" s="13">
        <v>1988</v>
      </c>
      <c r="W1" s="13">
        <v>1989</v>
      </c>
      <c r="X1" s="13">
        <v>1990</v>
      </c>
      <c r="Y1" s="13">
        <v>1991</v>
      </c>
      <c r="Z1" s="13">
        <v>1992</v>
      </c>
      <c r="AA1" s="13">
        <v>1993</v>
      </c>
      <c r="AB1" s="13">
        <v>1994</v>
      </c>
      <c r="AC1" s="13">
        <v>1995</v>
      </c>
      <c r="AD1" s="13">
        <v>1996</v>
      </c>
      <c r="AE1" s="13">
        <v>1997</v>
      </c>
      <c r="AF1" s="13">
        <v>1998</v>
      </c>
      <c r="AG1" s="13">
        <v>1999</v>
      </c>
      <c r="AH1" s="13">
        <v>2000</v>
      </c>
      <c r="AI1" s="13">
        <v>2001</v>
      </c>
      <c r="AJ1" s="13">
        <v>2002</v>
      </c>
      <c r="AK1" s="13">
        <v>2003</v>
      </c>
      <c r="AL1" s="13">
        <v>2004</v>
      </c>
      <c r="AM1" s="13">
        <v>2005</v>
      </c>
      <c r="AN1" s="13">
        <v>2006</v>
      </c>
      <c r="AO1" s="13">
        <v>2007</v>
      </c>
      <c r="AP1" s="13">
        <v>2008</v>
      </c>
      <c r="AQ1" s="13">
        <v>2009</v>
      </c>
      <c r="AR1" s="13">
        <v>2010</v>
      </c>
      <c r="AS1" s="13">
        <v>2011</v>
      </c>
      <c r="AT1" s="13">
        <v>2012</v>
      </c>
      <c r="AU1" s="13">
        <v>2013</v>
      </c>
      <c r="AV1" s="13">
        <v>2014</v>
      </c>
      <c r="AW1" s="13">
        <v>2015</v>
      </c>
      <c r="AX1" s="13">
        <v>2016</v>
      </c>
      <c r="AY1" s="13">
        <v>2017</v>
      </c>
      <c r="AZ1" s="13">
        <v>2018</v>
      </c>
      <c r="BA1" s="110">
        <v>2019</v>
      </c>
      <c r="BB1" s="126">
        <v>2020</v>
      </c>
      <c r="BC1" s="19">
        <v>2021</v>
      </c>
      <c r="BD1" s="135">
        <v>2022</v>
      </c>
      <c r="BE1" s="136">
        <v>2023</v>
      </c>
      <c r="BF1" s="19">
        <v>2024</v>
      </c>
      <c r="BG1" s="180"/>
    </row>
    <row r="2" spans="1:59" s="142" customFormat="1" x14ac:dyDescent="0.2">
      <c r="A2" s="190" t="s">
        <v>165</v>
      </c>
      <c r="B2" s="4"/>
      <c r="C2" s="7">
        <f>Data!E193</f>
        <v>303</v>
      </c>
      <c r="D2" s="4"/>
      <c r="E2" s="3">
        <f>Data!G193</f>
        <v>-22</v>
      </c>
      <c r="F2" s="4"/>
      <c r="G2" s="4"/>
      <c r="BB2" s="143"/>
      <c r="BC2" s="19"/>
      <c r="BE2" s="143"/>
      <c r="BF2" s="19"/>
      <c r="BG2" s="180"/>
    </row>
    <row r="3" spans="1:59" s="142" customFormat="1" x14ac:dyDescent="0.2">
      <c r="A3" s="191"/>
      <c r="B3" s="8">
        <f>Data!D194</f>
        <v>173</v>
      </c>
      <c r="C3" s="5">
        <f>Data!E194</f>
        <v>102</v>
      </c>
      <c r="D3" s="4"/>
      <c r="E3" s="4"/>
      <c r="F3" s="6">
        <f>Data!H194</f>
        <v>447</v>
      </c>
      <c r="G3" s="3">
        <f>Data!I194</f>
        <v>-30</v>
      </c>
      <c r="BB3" s="143"/>
      <c r="BC3" s="19"/>
      <c r="BE3" s="143"/>
      <c r="BF3" s="19"/>
      <c r="BG3" s="180"/>
    </row>
    <row r="4" spans="1:59" s="142" customFormat="1" x14ac:dyDescent="0.2">
      <c r="A4" s="191"/>
      <c r="B4" s="3">
        <f>Data!D195</f>
        <v>47</v>
      </c>
      <c r="C4" s="3">
        <f>Data!E195</f>
        <v>43</v>
      </c>
      <c r="D4" s="8">
        <f>Data!F195</f>
        <v>311</v>
      </c>
      <c r="E4" s="3">
        <f>Data!G195</f>
        <v>-99</v>
      </c>
      <c r="F4" s="3">
        <f>Data!H195</f>
        <v>-20</v>
      </c>
      <c r="G4" s="4"/>
      <c r="BB4" s="143"/>
      <c r="BC4" s="19"/>
      <c r="BE4" s="143"/>
      <c r="BF4" s="19"/>
      <c r="BG4" s="180"/>
    </row>
    <row r="5" spans="1:59" s="142" customFormat="1" x14ac:dyDescent="0.2">
      <c r="A5" s="192"/>
      <c r="B5" s="3">
        <f>Data!D196</f>
        <v>-41</v>
      </c>
      <c r="C5" s="3">
        <f>Data!E196</f>
        <v>48</v>
      </c>
      <c r="D5" s="3">
        <f>Data!F196</f>
        <v>-44</v>
      </c>
      <c r="E5" s="4"/>
      <c r="F5" s="3">
        <f>Data!H196</f>
        <v>99</v>
      </c>
      <c r="G5" s="4"/>
      <c r="BB5" s="143"/>
      <c r="BC5" s="19"/>
      <c r="BE5" s="143"/>
      <c r="BF5" s="19"/>
      <c r="BG5" s="180"/>
    </row>
    <row r="6" spans="1:59" s="70" customFormat="1" x14ac:dyDescent="0.2">
      <c r="A6" s="190" t="s">
        <v>144</v>
      </c>
      <c r="B6" s="16"/>
      <c r="C6" s="17">
        <f>Data!E88</f>
        <v>460</v>
      </c>
      <c r="D6" s="16"/>
      <c r="E6" s="31">
        <f>Data!G88</f>
        <v>90</v>
      </c>
      <c r="F6" s="16"/>
      <c r="G6" s="16"/>
      <c r="H6" s="16"/>
      <c r="I6" s="16"/>
      <c r="J6" s="16"/>
      <c r="K6" s="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6"/>
      <c r="BB6" s="16"/>
      <c r="BC6" s="16"/>
      <c r="BD6" s="16"/>
      <c r="BE6" s="16"/>
      <c r="BF6" s="16"/>
      <c r="BG6" s="180"/>
    </row>
    <row r="7" spans="1:59" s="70" customFormat="1" x14ac:dyDescent="0.2">
      <c r="A7" s="191"/>
      <c r="B7" s="24">
        <f>Data!D89</f>
        <v>352</v>
      </c>
      <c r="C7" s="23">
        <f>Data!E89</f>
        <v>523</v>
      </c>
      <c r="D7" s="19"/>
      <c r="E7" s="19"/>
      <c r="F7" s="19"/>
      <c r="G7" s="19"/>
      <c r="H7" s="19"/>
      <c r="I7" s="19"/>
      <c r="J7" s="19"/>
      <c r="K7" s="19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9"/>
      <c r="BB7" s="19"/>
      <c r="BC7" s="19"/>
      <c r="BD7" s="19"/>
      <c r="BE7" s="19"/>
      <c r="BF7" s="19"/>
      <c r="BG7" s="180"/>
    </row>
    <row r="8" spans="1:59" s="70" customFormat="1" x14ac:dyDescent="0.2">
      <c r="A8" s="191"/>
      <c r="B8" s="23">
        <f>Data!D90</f>
        <v>500</v>
      </c>
      <c r="C8" s="23">
        <f>Data!E90</f>
        <v>520</v>
      </c>
      <c r="D8" s="20">
        <f>Data!F90</f>
        <v>89</v>
      </c>
      <c r="E8" s="22">
        <f>Data!G90</f>
        <v>181</v>
      </c>
      <c r="F8" s="19"/>
      <c r="G8" s="19"/>
      <c r="H8" s="19"/>
      <c r="I8" s="19"/>
      <c r="J8" s="19"/>
      <c r="K8" s="20">
        <f>Data!M90</f>
        <v>-8</v>
      </c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9"/>
      <c r="BB8" s="19"/>
      <c r="BC8" s="19"/>
      <c r="BD8" s="19"/>
      <c r="BE8" s="19"/>
      <c r="BF8" s="19"/>
      <c r="BG8" s="180"/>
    </row>
    <row r="9" spans="1:59" s="70" customFormat="1" x14ac:dyDescent="0.2">
      <c r="A9" s="192"/>
      <c r="B9" s="25">
        <f>Data!D91</f>
        <v>89</v>
      </c>
      <c r="C9" s="27">
        <f>Data!E91</f>
        <v>523</v>
      </c>
      <c r="D9" s="25">
        <f>Data!F91</f>
        <v>86</v>
      </c>
      <c r="E9" s="33"/>
      <c r="F9" s="25">
        <f>Data!H91</f>
        <v>69</v>
      </c>
      <c r="G9" s="25">
        <f>Data!I91</f>
        <v>58</v>
      </c>
      <c r="H9" s="33"/>
      <c r="I9" s="25">
        <f>Data!K91</f>
        <v>174</v>
      </c>
      <c r="J9" s="33"/>
      <c r="K9" s="33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3"/>
      <c r="BB9" s="33"/>
      <c r="BC9" s="33"/>
      <c r="BD9" s="33"/>
      <c r="BE9" s="33"/>
      <c r="BF9" s="33"/>
      <c r="BG9" s="180"/>
    </row>
    <row r="10" spans="1:59" s="77" customFormat="1" x14ac:dyDescent="0.2">
      <c r="A10" s="190" t="s">
        <v>152</v>
      </c>
      <c r="B10" s="16"/>
      <c r="C10" s="31">
        <f>Data!E98</f>
        <v>93</v>
      </c>
      <c r="D10" s="16"/>
      <c r="E10" s="17">
        <f>Data!G98</f>
        <v>523</v>
      </c>
      <c r="F10" s="17">
        <f>Data!H98</f>
        <v>377</v>
      </c>
      <c r="G10" s="31">
        <f>Data!I98</f>
        <v>-19</v>
      </c>
      <c r="H10" s="16"/>
      <c r="I10" s="43">
        <f>Data!K98</f>
        <v>37</v>
      </c>
      <c r="J10" s="43">
        <f>Data!L98</f>
        <v>153</v>
      </c>
      <c r="K10" s="44">
        <f>Data!M98</f>
        <v>24</v>
      </c>
      <c r="L10" s="31">
        <f>Data!N98</f>
        <v>29</v>
      </c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6"/>
      <c r="BB10" s="16"/>
      <c r="BC10" s="16"/>
      <c r="BD10" s="16"/>
      <c r="BE10" s="16"/>
      <c r="BF10" s="19"/>
      <c r="BG10" s="180"/>
    </row>
    <row r="11" spans="1:59" s="77" customFormat="1" x14ac:dyDescent="0.2">
      <c r="A11" s="191"/>
      <c r="B11" s="23">
        <f>Data!D99</f>
        <v>494</v>
      </c>
      <c r="C11" s="24">
        <f>Data!E99</f>
        <v>375</v>
      </c>
      <c r="D11" s="19"/>
      <c r="E11" s="19"/>
      <c r="F11" s="19"/>
      <c r="G11" s="19"/>
      <c r="H11" s="19"/>
      <c r="I11" s="19"/>
      <c r="J11" s="19"/>
      <c r="K11" s="19"/>
      <c r="L11" s="19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9"/>
      <c r="BB11" s="19"/>
      <c r="BC11" s="19"/>
      <c r="BD11" s="19"/>
      <c r="BE11" s="19"/>
      <c r="BF11" s="19"/>
      <c r="BG11" s="180"/>
    </row>
    <row r="12" spans="1:59" s="77" customFormat="1" x14ac:dyDescent="0.2">
      <c r="A12" s="191"/>
      <c r="B12" s="20">
        <f>Data!D100</f>
        <v>87</v>
      </c>
      <c r="C12" s="20">
        <f>Data!E100</f>
        <v>2</v>
      </c>
      <c r="D12" s="24">
        <f>Data!F100</f>
        <v>359</v>
      </c>
      <c r="E12" s="21">
        <f>Data!G100</f>
        <v>280</v>
      </c>
      <c r="F12" s="19"/>
      <c r="G12" s="19"/>
      <c r="H12" s="24">
        <f>Data!J100</f>
        <v>399</v>
      </c>
      <c r="I12" s="20">
        <f>Data!K100</f>
        <v>25</v>
      </c>
      <c r="J12" s="19"/>
      <c r="K12" s="19"/>
      <c r="L12" s="19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9"/>
      <c r="BB12" s="19"/>
      <c r="BC12" s="19"/>
      <c r="BD12" s="19"/>
      <c r="BE12" s="19"/>
      <c r="BF12" s="19"/>
      <c r="BG12" s="180"/>
    </row>
    <row r="13" spans="1:59" s="77" customFormat="1" x14ac:dyDescent="0.2">
      <c r="A13" s="192"/>
      <c r="B13" s="29">
        <f>Data!D101</f>
        <v>274</v>
      </c>
      <c r="C13" s="26">
        <f>Data!E101</f>
        <v>174</v>
      </c>
      <c r="D13" s="27">
        <f>Data!F101</f>
        <v>517</v>
      </c>
      <c r="E13" s="33"/>
      <c r="F13" s="25">
        <f>Data!H101</f>
        <v>-17</v>
      </c>
      <c r="G13" s="29">
        <f>Data!I101</f>
        <v>154</v>
      </c>
      <c r="H13" s="28">
        <f>Data!J101</f>
        <v>409</v>
      </c>
      <c r="I13" s="33"/>
      <c r="J13" s="33"/>
      <c r="K13" s="25">
        <f>Data!M101</f>
        <v>102</v>
      </c>
      <c r="L13" s="33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3"/>
      <c r="BB13" s="33"/>
      <c r="BC13" s="33"/>
      <c r="BD13" s="33"/>
      <c r="BE13" s="33"/>
      <c r="BF13" s="19"/>
      <c r="BG13" s="180"/>
    </row>
    <row r="14" spans="1:59" s="74" customFormat="1" x14ac:dyDescent="0.2">
      <c r="A14" s="190" t="s">
        <v>148</v>
      </c>
      <c r="B14" s="16"/>
      <c r="C14" s="44">
        <f>Data!E93</f>
        <v>141</v>
      </c>
      <c r="D14" s="44">
        <f>Data!F93</f>
        <v>74</v>
      </c>
      <c r="E14" s="31">
        <f>Data!G93</f>
        <v>98</v>
      </c>
      <c r="F14" s="44">
        <f>Data!H93</f>
        <v>132</v>
      </c>
      <c r="G14" s="17">
        <f>Data!I93</f>
        <v>407</v>
      </c>
      <c r="H14" s="44">
        <f>Data!J93</f>
        <v>167</v>
      </c>
      <c r="I14" s="17">
        <f>Data!K93</f>
        <v>380</v>
      </c>
      <c r="J14" s="18">
        <f>Data!L93</f>
        <v>230</v>
      </c>
      <c r="K14" s="44">
        <f>Data!M93</f>
        <v>226</v>
      </c>
      <c r="L14" s="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6"/>
      <c r="BB14" s="16"/>
      <c r="BC14" s="16"/>
      <c r="BD14" s="16"/>
      <c r="BE14" s="16"/>
      <c r="BF14" s="16"/>
      <c r="BG14" s="180"/>
    </row>
    <row r="15" spans="1:59" s="74" customFormat="1" x14ac:dyDescent="0.2">
      <c r="A15" s="191"/>
      <c r="B15" s="19"/>
      <c r="C15" s="22">
        <f>Data!E94</f>
        <v>227</v>
      </c>
      <c r="D15" s="19"/>
      <c r="E15" s="19"/>
      <c r="F15" s="19"/>
      <c r="G15" s="20">
        <f>Data!I94</f>
        <v>-87</v>
      </c>
      <c r="H15" s="19"/>
      <c r="I15" s="19"/>
      <c r="J15" s="20">
        <f>Data!L94</f>
        <v>-45</v>
      </c>
      <c r="K15" s="19"/>
      <c r="L15" s="19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9"/>
      <c r="BB15" s="19"/>
      <c r="BC15" s="19"/>
      <c r="BD15" s="19"/>
      <c r="BE15" s="19"/>
      <c r="BF15" s="19"/>
      <c r="BG15" s="180"/>
    </row>
    <row r="16" spans="1:59" s="74" customFormat="1" x14ac:dyDescent="0.2">
      <c r="A16" s="191"/>
      <c r="B16" s="20">
        <f>Data!D95</f>
        <v>66</v>
      </c>
      <c r="C16" s="24">
        <f>Data!E95</f>
        <v>470</v>
      </c>
      <c r="D16" s="23">
        <f>Data!F95</f>
        <v>409</v>
      </c>
      <c r="E16" s="23">
        <f>Data!G95</f>
        <v>414</v>
      </c>
      <c r="F16" s="19"/>
      <c r="G16" s="19"/>
      <c r="H16" s="22">
        <f>Data!J95</f>
        <v>232</v>
      </c>
      <c r="I16" s="19"/>
      <c r="J16" s="20">
        <f>Data!L95</f>
        <v>-58</v>
      </c>
      <c r="K16" s="19"/>
      <c r="L16" s="20">
        <f>Data!N95</f>
        <v>62</v>
      </c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9"/>
      <c r="BB16" s="19"/>
      <c r="BC16" s="19"/>
      <c r="BD16" s="19"/>
      <c r="BE16" s="19"/>
      <c r="BF16" s="19"/>
      <c r="BG16" s="180"/>
    </row>
    <row r="17" spans="1:59" s="74" customFormat="1" x14ac:dyDescent="0.2">
      <c r="A17" s="192"/>
      <c r="B17" s="26">
        <f>Data!D96</f>
        <v>183</v>
      </c>
      <c r="C17" s="29">
        <f>Data!E96</f>
        <v>227</v>
      </c>
      <c r="D17" s="29">
        <f>Data!F96</f>
        <v>246</v>
      </c>
      <c r="E17" s="25">
        <f>Data!G96</f>
        <v>-11</v>
      </c>
      <c r="F17" s="25">
        <f>Data!H96</f>
        <v>20</v>
      </c>
      <c r="G17" s="27">
        <f>Data!I96</f>
        <v>400</v>
      </c>
      <c r="H17" s="29">
        <f>Data!J96</f>
        <v>233</v>
      </c>
      <c r="I17" s="33"/>
      <c r="J17" s="33"/>
      <c r="K17" s="33"/>
      <c r="L17" s="33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3"/>
      <c r="BB17" s="33"/>
      <c r="BC17" s="33"/>
      <c r="BD17" s="33"/>
      <c r="BE17" s="33"/>
      <c r="BF17" s="19"/>
      <c r="BG17" s="180"/>
    </row>
    <row r="18" spans="1:59" s="80" customFormat="1" x14ac:dyDescent="0.2">
      <c r="A18" s="190" t="s">
        <v>119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6"/>
      <c r="BB18" s="16"/>
      <c r="BC18" s="16"/>
      <c r="BD18" s="16"/>
      <c r="BE18" s="16"/>
      <c r="BF18" s="16"/>
      <c r="BG18" s="180"/>
    </row>
    <row r="19" spans="1:59" s="80" customFormat="1" x14ac:dyDescent="0.2">
      <c r="A19" s="191"/>
      <c r="B19" s="19"/>
      <c r="C19" s="20">
        <f>Data!E109</f>
        <v>98</v>
      </c>
      <c r="D19" s="23">
        <f>Data!F109</f>
        <v>498</v>
      </c>
      <c r="E19" s="23">
        <f>Data!G109</f>
        <v>485</v>
      </c>
      <c r="F19" s="22">
        <f>Data!H109</f>
        <v>187</v>
      </c>
      <c r="G19" s="22">
        <f>Data!I109</f>
        <v>152</v>
      </c>
      <c r="H19" s="20">
        <f>Data!J109</f>
        <v>96</v>
      </c>
      <c r="I19" s="20">
        <f>Data!K109</f>
        <v>40</v>
      </c>
      <c r="J19" s="20">
        <f>Data!L109</f>
        <v>-37</v>
      </c>
      <c r="K19" s="20">
        <f>Data!M109</f>
        <v>21</v>
      </c>
      <c r="L19" s="20">
        <f>Data!N109</f>
        <v>-20</v>
      </c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9"/>
      <c r="BB19" s="19"/>
      <c r="BC19" s="19"/>
      <c r="BD19" s="19"/>
      <c r="BE19" s="19"/>
      <c r="BF19" s="19"/>
      <c r="BG19" s="180"/>
    </row>
    <row r="20" spans="1:59" s="80" customFormat="1" x14ac:dyDescent="0.2">
      <c r="A20" s="191"/>
      <c r="B20" s="20">
        <f>Data!D110</f>
        <v>-82</v>
      </c>
      <c r="C20" s="20">
        <f>Data!E110</f>
        <v>-48</v>
      </c>
      <c r="D20" s="20">
        <f>Data!F110</f>
        <v>-82</v>
      </c>
      <c r="E20" s="20">
        <f>Data!G110</f>
        <v>-82</v>
      </c>
      <c r="F20" s="21">
        <f>Data!H110</f>
        <v>180</v>
      </c>
      <c r="G20" s="23">
        <f>Data!I110</f>
        <v>304</v>
      </c>
      <c r="H20" s="22">
        <f>Data!J110</f>
        <v>153</v>
      </c>
      <c r="I20" s="20">
        <f>Data!K110</f>
        <v>-41</v>
      </c>
      <c r="J20" s="19"/>
      <c r="K20" s="20">
        <f>Data!M110</f>
        <v>-3</v>
      </c>
      <c r="L20" s="20">
        <f>Data!N110</f>
        <v>-23</v>
      </c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9"/>
      <c r="BB20" s="19"/>
      <c r="BC20" s="19"/>
      <c r="BD20" s="19"/>
      <c r="BE20" s="19"/>
      <c r="BF20" s="19"/>
      <c r="BG20" s="180"/>
    </row>
    <row r="21" spans="1:59" s="80" customFormat="1" x14ac:dyDescent="0.2">
      <c r="A21" s="192"/>
      <c r="B21" s="33"/>
      <c r="C21" s="25">
        <f>Data!E111</f>
        <v>-48</v>
      </c>
      <c r="D21" s="33"/>
      <c r="E21" s="28">
        <f>Data!G111</f>
        <v>449</v>
      </c>
      <c r="F21" s="25">
        <f>Data!H111</f>
        <v>-48</v>
      </c>
      <c r="G21" s="28">
        <f>Data!I111</f>
        <v>305</v>
      </c>
      <c r="H21" s="25">
        <f>Data!J111</f>
        <v>63</v>
      </c>
      <c r="I21" s="25">
        <f>Data!K111</f>
        <v>21</v>
      </c>
      <c r="J21" s="26">
        <f>Data!L111</f>
        <v>258</v>
      </c>
      <c r="K21" s="25">
        <f>Data!M111</f>
        <v>49</v>
      </c>
      <c r="L21" s="33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3"/>
      <c r="BB21" s="33"/>
      <c r="BC21" s="33"/>
      <c r="BD21" s="33"/>
      <c r="BE21" s="33"/>
      <c r="BF21" s="19"/>
      <c r="BG21" s="180"/>
    </row>
    <row r="22" spans="1:59" s="80" customFormat="1" x14ac:dyDescent="0.2">
      <c r="A22" s="190" t="s">
        <v>157</v>
      </c>
      <c r="B22" s="16"/>
      <c r="C22" s="16"/>
      <c r="D22" s="17">
        <f>Data!F103</f>
        <v>511</v>
      </c>
      <c r="E22" s="18">
        <f>Data!G103</f>
        <v>384</v>
      </c>
      <c r="F22" s="16"/>
      <c r="G22" s="16"/>
      <c r="H22" s="16"/>
      <c r="I22" s="16"/>
      <c r="J22" s="16"/>
      <c r="K22" s="44">
        <f>Data!M103</f>
        <v>-16</v>
      </c>
      <c r="L22" s="43">
        <f>Data!N103</f>
        <v>152</v>
      </c>
      <c r="M22" s="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6"/>
      <c r="BB22" s="16"/>
      <c r="BC22" s="16"/>
      <c r="BD22" s="16"/>
      <c r="BE22" s="16"/>
      <c r="BF22" s="16"/>
      <c r="BG22" s="180"/>
    </row>
    <row r="23" spans="1:59" s="80" customFormat="1" x14ac:dyDescent="0.2">
      <c r="A23" s="191"/>
      <c r="B23" s="19"/>
      <c r="C23" s="20">
        <f>Data!E104</f>
        <v>36</v>
      </c>
      <c r="D23" s="22">
        <f>Data!F104</f>
        <v>194</v>
      </c>
      <c r="E23" s="22">
        <f>Data!G104</f>
        <v>177</v>
      </c>
      <c r="F23" s="19"/>
      <c r="G23" s="20">
        <f>Data!I104</f>
        <v>71</v>
      </c>
      <c r="H23" s="20">
        <f>Data!J104</f>
        <v>39</v>
      </c>
      <c r="I23" s="19"/>
      <c r="J23" s="20">
        <f>Data!L104</f>
        <v>28</v>
      </c>
      <c r="K23" s="19"/>
      <c r="L23" s="20">
        <f>Data!N104</f>
        <v>119</v>
      </c>
      <c r="M23" s="20">
        <f>Data!O104</f>
        <v>23</v>
      </c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9"/>
      <c r="BB23" s="19"/>
      <c r="BC23" s="19"/>
      <c r="BD23" s="19"/>
      <c r="BE23" s="19"/>
      <c r="BF23" s="19"/>
      <c r="BG23" s="180"/>
    </row>
    <row r="24" spans="1:59" s="80" customFormat="1" x14ac:dyDescent="0.2">
      <c r="A24" s="191"/>
      <c r="B24" s="21">
        <f>Data!D105</f>
        <v>289</v>
      </c>
      <c r="C24" s="21">
        <f>Data!E105</f>
        <v>289</v>
      </c>
      <c r="D24" s="20">
        <f>Data!F105</f>
        <v>88</v>
      </c>
      <c r="E24" s="20">
        <f>Data!G105</f>
        <v>2</v>
      </c>
      <c r="F24" s="19"/>
      <c r="G24" s="19"/>
      <c r="H24" s="20">
        <f>Data!J105</f>
        <v>-23</v>
      </c>
      <c r="I24" s="23">
        <f>Data!K105</f>
        <v>483</v>
      </c>
      <c r="J24" s="20">
        <f>Data!L105</f>
        <v>76</v>
      </c>
      <c r="K24" s="19"/>
      <c r="L24" s="20">
        <f>Data!N105</f>
        <v>-86</v>
      </c>
      <c r="M24" s="20">
        <f>Data!O105</f>
        <v>-99</v>
      </c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9"/>
      <c r="BB24" s="19"/>
      <c r="BC24" s="19"/>
      <c r="BD24" s="19"/>
      <c r="BE24" s="19"/>
      <c r="BF24" s="19"/>
      <c r="BG24" s="180"/>
    </row>
    <row r="25" spans="1:59" s="80" customFormat="1" x14ac:dyDescent="0.2">
      <c r="A25" s="192"/>
      <c r="B25" s="23">
        <f>Data!D106</f>
        <v>507</v>
      </c>
      <c r="C25" s="21">
        <f>Data!E106</f>
        <v>301</v>
      </c>
      <c r="D25" s="22">
        <f>Data!F106</f>
        <v>201</v>
      </c>
      <c r="E25" s="21">
        <f>Data!G106</f>
        <v>238</v>
      </c>
      <c r="F25" s="24">
        <f>Data!H106</f>
        <v>412</v>
      </c>
      <c r="G25" s="20">
        <f>Data!I106</f>
        <v>28</v>
      </c>
      <c r="H25" s="22">
        <f>Data!J106</f>
        <v>151</v>
      </c>
      <c r="I25" s="20">
        <f>Data!K106</f>
        <v>59</v>
      </c>
      <c r="J25" s="20">
        <f>Data!L106</f>
        <v>-24</v>
      </c>
      <c r="K25" s="19"/>
      <c r="L25" s="20">
        <f>Data!N106</f>
        <v>35</v>
      </c>
      <c r="M25" s="19"/>
      <c r="N25" s="151"/>
      <c r="O25" s="151"/>
      <c r="P25" s="151"/>
      <c r="Q25" s="151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3"/>
      <c r="BB25" s="33"/>
      <c r="BC25" s="33"/>
      <c r="BD25" s="33"/>
      <c r="BE25" s="33"/>
      <c r="BF25" s="19"/>
      <c r="BG25" s="180"/>
    </row>
    <row r="26" spans="1:59" s="150" customFormat="1" x14ac:dyDescent="0.2">
      <c r="A26" s="190" t="s">
        <v>166</v>
      </c>
      <c r="B26" s="44">
        <f>Data!D198</f>
        <v>65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6"/>
      <c r="BB26" s="16"/>
      <c r="BC26" s="16"/>
      <c r="BD26" s="16"/>
      <c r="BE26" s="16"/>
      <c r="BF26" s="16"/>
      <c r="BG26" s="180"/>
    </row>
    <row r="27" spans="1:59" s="150" customFormat="1" x14ac:dyDescent="0.2">
      <c r="A27" s="191"/>
      <c r="B27" s="19"/>
      <c r="C27" s="20">
        <f>Data!E199</f>
        <v>52</v>
      </c>
      <c r="D27" s="20">
        <f>Data!F199</f>
        <v>85</v>
      </c>
      <c r="E27" s="19"/>
      <c r="F27" s="21">
        <f>Data!H199</f>
        <v>91</v>
      </c>
      <c r="G27" s="20">
        <f>Data!I199</f>
        <v>-99</v>
      </c>
      <c r="H27" s="24">
        <f>Data!J199</f>
        <v>347</v>
      </c>
      <c r="I27" s="20">
        <f>Data!K199</f>
        <v>-84</v>
      </c>
      <c r="J27" s="22">
        <f>Data!L199</f>
        <v>126</v>
      </c>
      <c r="K27" s="19"/>
      <c r="L27" s="22">
        <f>Data!N199</f>
        <v>171</v>
      </c>
      <c r="M27" s="20">
        <f>Data!O199</f>
        <v>205</v>
      </c>
      <c r="N27" s="20">
        <f>Data!P199</f>
        <v>82</v>
      </c>
      <c r="O27" s="20">
        <f>Data!Q199</f>
        <v>-99</v>
      </c>
      <c r="P27" s="151"/>
      <c r="Q27" s="20">
        <f>Data!S199</f>
        <v>-98</v>
      </c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1"/>
      <c r="BA27" s="19"/>
      <c r="BB27" s="19"/>
      <c r="BC27" s="19"/>
      <c r="BD27" s="19"/>
      <c r="BE27" s="19"/>
      <c r="BF27" s="19"/>
      <c r="BG27" s="180"/>
    </row>
    <row r="28" spans="1:59" s="150" customFormat="1" x14ac:dyDescent="0.2">
      <c r="A28" s="191"/>
      <c r="B28" s="20">
        <f>Data!D200</f>
        <v>-29</v>
      </c>
      <c r="C28" s="20">
        <f>Data!E200</f>
        <v>-30</v>
      </c>
      <c r="D28" s="20">
        <f>Data!F200</f>
        <v>4</v>
      </c>
      <c r="E28" s="20">
        <f>Data!G200</f>
        <v>-38</v>
      </c>
      <c r="F28" s="21">
        <f>Data!H200</f>
        <v>163</v>
      </c>
      <c r="G28" s="19"/>
      <c r="H28" s="20">
        <f>Data!J200</f>
        <v>-7</v>
      </c>
      <c r="I28" s="23">
        <f>Data!K200</f>
        <v>439</v>
      </c>
      <c r="J28" s="19"/>
      <c r="K28" s="19"/>
      <c r="L28" s="19"/>
      <c r="M28" s="20">
        <f>Data!O200</f>
        <v>-84</v>
      </c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9"/>
      <c r="BB28" s="19"/>
      <c r="BC28" s="19"/>
      <c r="BD28" s="19"/>
      <c r="BE28" s="19"/>
      <c r="BF28" s="19"/>
      <c r="BG28" s="180"/>
    </row>
    <row r="29" spans="1:59" s="150" customFormat="1" x14ac:dyDescent="0.2">
      <c r="A29" s="192"/>
      <c r="B29" s="33"/>
      <c r="C29" s="25">
        <f>Data!E201</f>
        <v>-8</v>
      </c>
      <c r="D29" s="33"/>
      <c r="E29" s="26">
        <f>Data!G201</f>
        <v>198</v>
      </c>
      <c r="F29" s="25">
        <f>Data!H201</f>
        <v>32</v>
      </c>
      <c r="G29" s="25">
        <f>Data!I201</f>
        <v>0</v>
      </c>
      <c r="H29" s="25">
        <f>Data!J201</f>
        <v>-98</v>
      </c>
      <c r="I29" s="33"/>
      <c r="J29" s="26">
        <f>Data!L201</f>
        <v>148</v>
      </c>
      <c r="K29" s="26">
        <f>Data!M201</f>
        <v>107</v>
      </c>
      <c r="L29" s="25">
        <f>Data!N201</f>
        <v>-30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3"/>
      <c r="BB29" s="33"/>
      <c r="BC29" s="33"/>
      <c r="BD29" s="33"/>
      <c r="BE29" s="33"/>
      <c r="BF29" s="19"/>
      <c r="BG29" s="180"/>
    </row>
    <row r="30" spans="1:59" s="86" customFormat="1" x14ac:dyDescent="0.2">
      <c r="A30" s="190" t="s">
        <v>117</v>
      </c>
      <c r="B30" s="19"/>
      <c r="C30" s="19"/>
      <c r="D30" s="20">
        <f>Data!F123</f>
        <v>90</v>
      </c>
      <c r="E30" s="19"/>
      <c r="F30" s="19"/>
      <c r="G30" s="19"/>
      <c r="H30" s="19"/>
      <c r="I30" s="19"/>
      <c r="J30" s="20">
        <f>Data!L123</f>
        <v>-10</v>
      </c>
      <c r="K30" s="20">
        <f>Data!M123</f>
        <v>-66</v>
      </c>
      <c r="L30" s="19"/>
      <c r="M30" s="19"/>
      <c r="N30" s="19"/>
      <c r="O30" s="19"/>
      <c r="P30" s="19"/>
      <c r="Q30" s="19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6"/>
      <c r="BB30" s="16"/>
      <c r="BC30" s="16"/>
      <c r="BD30" s="16"/>
      <c r="BE30" s="16"/>
      <c r="BF30" s="16"/>
      <c r="BG30" s="180"/>
    </row>
    <row r="31" spans="1:59" s="86" customFormat="1" x14ac:dyDescent="0.2">
      <c r="A31" s="191"/>
      <c r="B31" s="19"/>
      <c r="C31" s="20">
        <f>Data!E124</f>
        <v>101</v>
      </c>
      <c r="D31" s="19"/>
      <c r="E31" s="22">
        <f>Data!G124</f>
        <v>175</v>
      </c>
      <c r="F31" s="22">
        <f>Data!H124</f>
        <v>192</v>
      </c>
      <c r="G31" s="20">
        <f>Data!I124</f>
        <v>91</v>
      </c>
      <c r="H31" s="20">
        <f>Data!J124</f>
        <v>-99</v>
      </c>
      <c r="I31" s="20">
        <f>Data!K124</f>
        <v>22</v>
      </c>
      <c r="J31" s="19"/>
      <c r="K31" s="20">
        <f>Data!M124</f>
        <v>97</v>
      </c>
      <c r="L31" s="20">
        <f>Data!N124</f>
        <v>-69</v>
      </c>
      <c r="M31" s="20">
        <f>Data!O124</f>
        <v>57</v>
      </c>
      <c r="N31" s="19"/>
      <c r="O31" s="19"/>
      <c r="P31" s="19"/>
      <c r="Q31" s="19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9"/>
      <c r="BB31" s="19"/>
      <c r="BC31" s="19"/>
      <c r="BD31" s="19"/>
      <c r="BE31" s="19"/>
      <c r="BF31" s="19"/>
      <c r="BG31" s="180"/>
    </row>
    <row r="32" spans="1:59" s="86" customFormat="1" x14ac:dyDescent="0.2">
      <c r="A32" s="191"/>
      <c r="B32" s="20">
        <f>Data!D125</f>
        <v>17</v>
      </c>
      <c r="C32" s="20">
        <f>Data!E125</f>
        <v>101</v>
      </c>
      <c r="D32" s="20">
        <f>Data!F125</f>
        <v>92</v>
      </c>
      <c r="E32" s="24">
        <f>Data!G125</f>
        <v>346</v>
      </c>
      <c r="F32" s="23">
        <f>Data!H125</f>
        <v>454</v>
      </c>
      <c r="G32" s="19"/>
      <c r="H32" s="21">
        <f>Data!J125</f>
        <v>215</v>
      </c>
      <c r="I32" s="20">
        <f>Data!K125</f>
        <v>-99</v>
      </c>
      <c r="J32" s="20">
        <f>Data!L125</f>
        <v>7</v>
      </c>
      <c r="K32" s="20">
        <f>Data!M125</f>
        <v>119</v>
      </c>
      <c r="L32" s="20">
        <f>Data!N125</f>
        <v>-4</v>
      </c>
      <c r="M32" s="20">
        <f>Data!O125</f>
        <v>-12</v>
      </c>
      <c r="N32" s="20">
        <f>Data!P125</f>
        <v>50</v>
      </c>
      <c r="O32" s="20">
        <f>Data!Q125</f>
        <v>87</v>
      </c>
      <c r="P32" s="20">
        <f>Data!R125</f>
        <v>59</v>
      </c>
      <c r="Q32" s="20">
        <f>Data!S125</f>
        <v>-98</v>
      </c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9"/>
      <c r="BB32" s="19"/>
      <c r="BC32" s="19"/>
      <c r="BD32" s="19"/>
      <c r="BE32" s="19"/>
      <c r="BF32" s="19"/>
      <c r="BG32" s="180"/>
    </row>
    <row r="33" spans="1:59" s="86" customFormat="1" x14ac:dyDescent="0.2">
      <c r="A33" s="192"/>
      <c r="B33" s="25">
        <f>Data!D126</f>
        <v>16</v>
      </c>
      <c r="C33" s="25">
        <f>Data!E126</f>
        <v>-48</v>
      </c>
      <c r="D33" s="26">
        <f>Data!F126</f>
        <v>204</v>
      </c>
      <c r="E33" s="27">
        <f>Data!G126</f>
        <v>484</v>
      </c>
      <c r="F33" s="26">
        <f>Data!H126</f>
        <v>190</v>
      </c>
      <c r="G33" s="29">
        <f>Data!I126</f>
        <v>339</v>
      </c>
      <c r="H33" s="26">
        <f>Data!J126</f>
        <v>130</v>
      </c>
      <c r="I33" s="25">
        <f>Data!K126</f>
        <v>-21</v>
      </c>
      <c r="J33" s="25">
        <f>Data!L126</f>
        <v>93</v>
      </c>
      <c r="K33" s="25">
        <f>Data!M126</f>
        <v>-98</v>
      </c>
      <c r="L33" s="25">
        <f>Data!N126</f>
        <v>6</v>
      </c>
      <c r="M33" s="25">
        <f>Data!O126</f>
        <v>-2</v>
      </c>
      <c r="N33" s="25">
        <f>Data!P126</f>
        <v>-21</v>
      </c>
      <c r="O33" s="25">
        <f>Data!Q126</f>
        <v>12</v>
      </c>
      <c r="P33" s="25">
        <f>Data!R126</f>
        <v>-98</v>
      </c>
      <c r="Q33" s="25">
        <f>Data!S126</f>
        <v>-99</v>
      </c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3"/>
      <c r="BB33" s="33"/>
      <c r="BC33" s="33"/>
      <c r="BD33" s="33"/>
      <c r="BE33" s="33"/>
      <c r="BF33" s="19"/>
      <c r="BG33" s="180"/>
    </row>
    <row r="34" spans="1:59" s="80" customFormat="1" x14ac:dyDescent="0.2">
      <c r="A34" s="190" t="s">
        <v>115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31">
        <f>Data!Q113</f>
        <v>-11</v>
      </c>
      <c r="P34" s="16"/>
      <c r="Q34" s="16"/>
      <c r="R34" s="16"/>
      <c r="S34" s="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6"/>
      <c r="BB34" s="16"/>
      <c r="BC34" s="16"/>
      <c r="BD34" s="16"/>
      <c r="BE34" s="16"/>
      <c r="BF34" s="16"/>
      <c r="BG34" s="180"/>
    </row>
    <row r="35" spans="1:59" s="80" customFormat="1" x14ac:dyDescent="0.2">
      <c r="A35" s="191"/>
      <c r="B35" s="20">
        <f>Data!D114</f>
        <v>-48</v>
      </c>
      <c r="C35" s="20">
        <f>Data!E114</f>
        <v>-82</v>
      </c>
      <c r="D35" s="22">
        <f>Data!F114</f>
        <v>188</v>
      </c>
      <c r="E35" s="24">
        <f>Data!G114</f>
        <v>366</v>
      </c>
      <c r="F35" s="20">
        <f>Data!H114</f>
        <v>-48</v>
      </c>
      <c r="G35" s="23">
        <f>Data!I114</f>
        <v>564</v>
      </c>
      <c r="H35" s="22">
        <f>Data!J114</f>
        <v>64</v>
      </c>
      <c r="I35" s="20">
        <f>Data!K114</f>
        <v>10</v>
      </c>
      <c r="J35" s="19"/>
      <c r="K35" s="22">
        <f>Data!M114</f>
        <v>140</v>
      </c>
      <c r="L35" s="19"/>
      <c r="M35" s="20">
        <f>Data!O114</f>
        <v>-13</v>
      </c>
      <c r="N35" s="19"/>
      <c r="O35" s="20">
        <f>Data!Q114</f>
        <v>40</v>
      </c>
      <c r="P35" s="20">
        <f>Data!R114</f>
        <v>-96</v>
      </c>
      <c r="Q35" s="20">
        <f>Data!S114</f>
        <v>54</v>
      </c>
      <c r="R35" s="20">
        <f>Data!T114</f>
        <v>-12</v>
      </c>
      <c r="S35" s="19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9"/>
      <c r="BB35" s="19"/>
      <c r="BC35" s="19"/>
      <c r="BD35" s="19"/>
      <c r="BE35" s="19"/>
      <c r="BF35" s="19"/>
      <c r="BG35" s="180"/>
    </row>
    <row r="36" spans="1:59" s="80" customFormat="1" x14ac:dyDescent="0.2">
      <c r="A36" s="191"/>
      <c r="B36" s="19"/>
      <c r="C36" s="20">
        <f>Data!E115</f>
        <v>45</v>
      </c>
      <c r="D36" s="20">
        <f>Data!F115</f>
        <v>93</v>
      </c>
      <c r="E36" s="20">
        <f>Data!G115</f>
        <v>-48</v>
      </c>
      <c r="F36" s="24">
        <f>Data!H115</f>
        <v>369</v>
      </c>
      <c r="G36" s="20">
        <f>Data!I115</f>
        <v>-41</v>
      </c>
      <c r="H36" s="20">
        <f>Data!J115</f>
        <v>162</v>
      </c>
      <c r="I36" s="20">
        <f>Data!K115</f>
        <v>-64</v>
      </c>
      <c r="J36" s="24">
        <f>Data!L115</f>
        <v>299</v>
      </c>
      <c r="K36" s="22">
        <f>Data!M115</f>
        <v>117</v>
      </c>
      <c r="L36" s="22">
        <f>Data!N115</f>
        <v>82</v>
      </c>
      <c r="M36" s="19"/>
      <c r="N36" s="20">
        <f>Data!P115</f>
        <v>-5</v>
      </c>
      <c r="O36" s="20">
        <f>Data!Q115</f>
        <v>-52</v>
      </c>
      <c r="P36" s="20">
        <f>Data!R115</f>
        <v>-96</v>
      </c>
      <c r="Q36" s="19"/>
      <c r="R36" s="19"/>
      <c r="S36" s="19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9"/>
      <c r="BB36" s="19"/>
      <c r="BC36" s="19"/>
      <c r="BD36" s="19"/>
      <c r="BE36" s="19"/>
      <c r="BF36" s="19"/>
      <c r="BG36" s="180"/>
    </row>
    <row r="37" spans="1:59" s="80" customFormat="1" x14ac:dyDescent="0.2">
      <c r="A37" s="192"/>
      <c r="B37" s="33"/>
      <c r="C37" s="25">
        <f>Data!E116</f>
        <v>50</v>
      </c>
      <c r="D37" s="33"/>
      <c r="E37" s="25">
        <f>Data!G116</f>
        <v>2</v>
      </c>
      <c r="F37" s="27">
        <f>Data!H116</f>
        <v>480</v>
      </c>
      <c r="G37" s="25">
        <f>Data!I116</f>
        <v>-78</v>
      </c>
      <c r="H37" s="25">
        <f>Data!J116</f>
        <v>-19</v>
      </c>
      <c r="I37" s="26">
        <f>Data!K116</f>
        <v>242</v>
      </c>
      <c r="J37" s="29">
        <f>Data!L116</f>
        <v>322</v>
      </c>
      <c r="K37" s="25">
        <f>Data!M116</f>
        <v>16</v>
      </c>
      <c r="L37" s="33"/>
      <c r="M37" s="25">
        <f>Data!O116</f>
        <v>-2</v>
      </c>
      <c r="N37" s="25">
        <f>Data!P116</f>
        <v>-6</v>
      </c>
      <c r="O37" s="25">
        <f>Data!Q116</f>
        <v>-27</v>
      </c>
      <c r="P37" s="25">
        <f>Data!R116</f>
        <v>121</v>
      </c>
      <c r="Q37" s="25">
        <f>Data!S116</f>
        <v>-92</v>
      </c>
      <c r="R37" s="25">
        <f>Data!T116</f>
        <v>-15</v>
      </c>
      <c r="S37" s="25">
        <f>Data!U116</f>
        <v>-86</v>
      </c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3"/>
      <c r="BB37" s="33"/>
      <c r="BC37" s="33"/>
      <c r="BD37" s="33"/>
      <c r="BE37" s="33"/>
      <c r="BF37" s="19"/>
      <c r="BG37" s="180"/>
    </row>
    <row r="38" spans="1:59" s="156" customFormat="1" x14ac:dyDescent="0.2">
      <c r="A38" s="190" t="s">
        <v>168</v>
      </c>
      <c r="B38" s="16"/>
      <c r="C38" s="3">
        <f>Data!D208</f>
        <v>-80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16"/>
      <c r="R38" s="16"/>
      <c r="S38" s="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6"/>
      <c r="BB38" s="16"/>
      <c r="BC38" s="16"/>
      <c r="BD38" s="16"/>
      <c r="BE38" s="16"/>
      <c r="BF38" s="16"/>
      <c r="BG38" s="180"/>
    </row>
    <row r="39" spans="1:59" s="156" customFormat="1" x14ac:dyDescent="0.2">
      <c r="A39" s="191"/>
      <c r="B39" s="19"/>
      <c r="C39" s="3">
        <f>Data!D209</f>
        <v>-80</v>
      </c>
      <c r="D39" s="3">
        <f>Data!E209</f>
        <v>79</v>
      </c>
      <c r="E39" s="3">
        <f>Data!F209</f>
        <v>-59</v>
      </c>
      <c r="F39" s="5">
        <f>Data!G209</f>
        <v>171</v>
      </c>
      <c r="G39" s="8">
        <f>Data!H209</f>
        <v>287</v>
      </c>
      <c r="H39" s="3">
        <f>Data!I209</f>
        <v>-13</v>
      </c>
      <c r="I39" s="8">
        <f>Data!J209</f>
        <v>236</v>
      </c>
      <c r="J39" s="6">
        <f>Data!K209</f>
        <v>449</v>
      </c>
      <c r="K39" s="5">
        <f>Data!L209</f>
        <v>78</v>
      </c>
      <c r="L39" s="3">
        <f>Data!M209</f>
        <v>-32</v>
      </c>
      <c r="M39" s="3">
        <f>Data!N209</f>
        <v>2</v>
      </c>
      <c r="N39" s="3">
        <f>Data!O209</f>
        <v>-3</v>
      </c>
      <c r="O39" s="3">
        <f>Data!P209</f>
        <v>17</v>
      </c>
      <c r="P39" s="3">
        <f>Data!Q209</f>
        <v>-25</v>
      </c>
      <c r="Q39" s="19"/>
      <c r="R39" s="19"/>
      <c r="S39" s="19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9"/>
      <c r="BB39" s="19"/>
      <c r="BC39" s="19"/>
      <c r="BD39" s="19"/>
      <c r="BE39" s="19"/>
      <c r="BF39" s="19"/>
      <c r="BG39" s="180"/>
    </row>
    <row r="40" spans="1:59" s="156" customFormat="1" x14ac:dyDescent="0.2">
      <c r="A40" s="191"/>
      <c r="B40" s="19"/>
      <c r="C40" s="4"/>
      <c r="D40" s="3">
        <f>Data!E210</f>
        <v>-80</v>
      </c>
      <c r="E40" s="3">
        <f>Data!F210</f>
        <v>59</v>
      </c>
      <c r="F40" s="3">
        <f>Data!G210</f>
        <v>24</v>
      </c>
      <c r="G40" s="4"/>
      <c r="H40" s="3">
        <f>Data!I210</f>
        <v>92</v>
      </c>
      <c r="I40" s="3">
        <f>Data!J210</f>
        <v>55</v>
      </c>
      <c r="J40" s="3">
        <f>Data!K210</f>
        <v>-77</v>
      </c>
      <c r="K40" s="3">
        <f>Data!L210</f>
        <v>-27</v>
      </c>
      <c r="L40" s="4"/>
      <c r="M40" s="5">
        <f>Data!N210</f>
        <v>51</v>
      </c>
      <c r="N40" s="3">
        <f>Data!O210</f>
        <v>81</v>
      </c>
      <c r="O40" s="4"/>
      <c r="P40" s="4"/>
      <c r="Q40" s="19"/>
      <c r="R40" s="19"/>
      <c r="S40" s="19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9"/>
      <c r="BB40" s="19"/>
      <c r="BC40" s="19"/>
      <c r="BD40" s="19"/>
      <c r="BE40" s="19"/>
      <c r="BF40" s="19"/>
      <c r="BG40" s="180"/>
    </row>
    <row r="41" spans="1:59" s="156" customFormat="1" x14ac:dyDescent="0.2">
      <c r="A41" s="192"/>
      <c r="B41" s="33"/>
      <c r="C41" s="33"/>
      <c r="D41" s="33"/>
      <c r="E41" s="33"/>
      <c r="F41" s="25">
        <f>Data!G211</f>
        <v>-17</v>
      </c>
      <c r="G41" s="25">
        <f>Data!H211</f>
        <v>-68</v>
      </c>
      <c r="H41" s="33"/>
      <c r="I41" s="33"/>
      <c r="J41" s="25">
        <f>Data!K211</f>
        <v>-71</v>
      </c>
      <c r="K41" s="25">
        <f>Data!L211</f>
        <v>8</v>
      </c>
      <c r="L41" s="25">
        <f>Data!M211</f>
        <v>110</v>
      </c>
      <c r="M41" s="25">
        <f>Data!N211</f>
        <v>-89</v>
      </c>
      <c r="N41" s="33"/>
      <c r="O41" s="25">
        <f>Data!P211</f>
        <v>-1</v>
      </c>
      <c r="P41" s="33"/>
      <c r="Q41" s="33"/>
      <c r="R41" s="33"/>
      <c r="S41" s="33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3"/>
      <c r="BB41" s="33"/>
      <c r="BC41" s="33"/>
      <c r="BD41" s="33"/>
      <c r="BE41" s="33"/>
      <c r="BF41" s="19"/>
      <c r="BG41" s="180"/>
    </row>
    <row r="42" spans="1:59" s="159" customFormat="1" x14ac:dyDescent="0.2">
      <c r="A42" s="190" t="s">
        <v>169</v>
      </c>
      <c r="B42" s="16"/>
      <c r="C42" s="4"/>
      <c r="D42" s="4"/>
      <c r="E42" s="4"/>
      <c r="F42" s="4"/>
      <c r="G42" s="4"/>
      <c r="H42" s="4"/>
      <c r="I42" s="4"/>
      <c r="J42" s="4"/>
      <c r="K42" s="6">
        <f>Data!L213</f>
        <v>378</v>
      </c>
      <c r="L42" s="3">
        <f>Data!M213</f>
        <v>-45</v>
      </c>
      <c r="M42" s="4"/>
      <c r="N42" s="4"/>
      <c r="O42" s="3">
        <f>Data!P213</f>
        <v>-87</v>
      </c>
      <c r="P42" s="4"/>
      <c r="Q42" s="3">
        <f>Data!R213</f>
        <v>33</v>
      </c>
      <c r="R42" s="4"/>
      <c r="S42" s="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6"/>
      <c r="BB42" s="16"/>
      <c r="BC42" s="16"/>
      <c r="BD42" s="16"/>
      <c r="BE42" s="16"/>
      <c r="BF42" s="16"/>
      <c r="BG42" s="180"/>
    </row>
    <row r="43" spans="1:59" s="159" customFormat="1" x14ac:dyDescent="0.2">
      <c r="A43" s="191"/>
      <c r="B43" s="19"/>
      <c r="C43" s="4"/>
      <c r="D43" s="4"/>
      <c r="E43" s="4"/>
      <c r="F43" s="4"/>
      <c r="G43" s="4"/>
      <c r="H43" s="3">
        <f>Data!I214</f>
        <v>-75</v>
      </c>
      <c r="I43" s="3">
        <f>Data!J214</f>
        <v>-69</v>
      </c>
      <c r="J43" s="4"/>
      <c r="K43" s="4"/>
      <c r="L43" s="3">
        <f>Data!M214</f>
        <v>46</v>
      </c>
      <c r="M43" s="4"/>
      <c r="N43" s="4"/>
      <c r="O43" s="4"/>
      <c r="P43" s="4"/>
      <c r="Q43" s="4"/>
      <c r="R43" s="4"/>
      <c r="S43" s="19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9"/>
      <c r="BB43" s="19"/>
      <c r="BC43" s="19"/>
      <c r="BD43" s="19"/>
      <c r="BE43" s="19"/>
      <c r="BF43" s="19"/>
      <c r="BG43" s="180"/>
    </row>
    <row r="44" spans="1:59" s="159" customFormat="1" x14ac:dyDescent="0.2">
      <c r="A44" s="191"/>
      <c r="B44" s="19"/>
      <c r="C44" s="4"/>
      <c r="D44" s="4"/>
      <c r="E44" s="4"/>
      <c r="F44" s="3">
        <f>Data!G215</f>
        <v>5</v>
      </c>
      <c r="G44" s="4"/>
      <c r="H44" s="3">
        <f>Data!I215</f>
        <v>147</v>
      </c>
      <c r="I44" s="8">
        <f>Data!J215</f>
        <v>223</v>
      </c>
      <c r="J44" s="8">
        <f>Data!K215</f>
        <v>159</v>
      </c>
      <c r="K44" s="3">
        <f>Data!L215</f>
        <v>-70</v>
      </c>
      <c r="L44" s="3">
        <f>Data!M215</f>
        <v>51</v>
      </c>
      <c r="M44" s="7">
        <f>Data!N215</f>
        <v>331</v>
      </c>
      <c r="N44" s="5">
        <f>Data!O215</f>
        <v>61</v>
      </c>
      <c r="O44" s="3">
        <f>Data!P215</f>
        <v>-21</v>
      </c>
      <c r="P44" s="3">
        <f>Data!Q215</f>
        <v>91</v>
      </c>
      <c r="Q44" s="5">
        <f>Data!R215</f>
        <v>233</v>
      </c>
      <c r="R44" s="4"/>
      <c r="S44" s="19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9"/>
      <c r="BB44" s="19"/>
      <c r="BC44" s="19"/>
      <c r="BD44" s="19"/>
      <c r="BE44" s="19"/>
      <c r="BF44" s="19"/>
      <c r="BG44" s="180"/>
    </row>
    <row r="45" spans="1:59" s="159" customFormat="1" x14ac:dyDescent="0.2">
      <c r="A45" s="192"/>
      <c r="B45" s="33"/>
      <c r="C45" s="3">
        <f>Data!D216</f>
        <v>-15</v>
      </c>
      <c r="D45" s="3">
        <f>Data!E216</f>
        <v>-7</v>
      </c>
      <c r="E45" s="3">
        <f>Data!F216</f>
        <v>12</v>
      </c>
      <c r="F45" s="5">
        <f>Data!G216</f>
        <v>253</v>
      </c>
      <c r="G45" s="3">
        <f>Data!H216</f>
        <v>110</v>
      </c>
      <c r="H45" s="8">
        <f>Data!I216</f>
        <v>338</v>
      </c>
      <c r="I45" s="3">
        <f>Data!J216</f>
        <v>33</v>
      </c>
      <c r="J45" s="3">
        <f>Data!K216</f>
        <v>25</v>
      </c>
      <c r="K45" s="3">
        <f>Data!L216</f>
        <v>40</v>
      </c>
      <c r="L45" s="3">
        <f>Data!M216</f>
        <v>33</v>
      </c>
      <c r="M45" s="8">
        <f>Data!N216</f>
        <v>284</v>
      </c>
      <c r="N45" s="5">
        <f>Data!O216</f>
        <v>84</v>
      </c>
      <c r="O45" s="5">
        <f>Data!P216</f>
        <v>152</v>
      </c>
      <c r="P45" s="3">
        <f>Data!Q216</f>
        <v>-26</v>
      </c>
      <c r="Q45" s="3">
        <f>Data!R216</f>
        <v>123</v>
      </c>
      <c r="R45" s="3">
        <f>Data!S216</f>
        <v>-99</v>
      </c>
      <c r="S45" s="33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3"/>
      <c r="BB45" s="33"/>
      <c r="BC45" s="33"/>
      <c r="BD45" s="33"/>
      <c r="BE45" s="33"/>
      <c r="BF45" s="19"/>
      <c r="BG45" s="180"/>
    </row>
    <row r="46" spans="1:59" s="57" customFormat="1" x14ac:dyDescent="0.2">
      <c r="A46" s="190" t="s">
        <v>102</v>
      </c>
      <c r="B46" s="119"/>
      <c r="C46" s="16"/>
      <c r="D46" s="16"/>
      <c r="E46" s="16"/>
      <c r="F46" s="16"/>
      <c r="G46" s="16"/>
      <c r="H46" s="16"/>
      <c r="I46" s="16"/>
      <c r="J46" s="16"/>
      <c r="K46" s="18">
        <f>Data!K63</f>
        <v>183</v>
      </c>
      <c r="L46" s="17">
        <f>Data!L63</f>
        <v>354</v>
      </c>
      <c r="M46" s="17">
        <f>Data!M63</f>
        <v>490</v>
      </c>
      <c r="N46" s="43">
        <f>Data!N63</f>
        <v>133</v>
      </c>
      <c r="O46" s="31">
        <f>Data!O63</f>
        <v>22</v>
      </c>
      <c r="P46" s="16"/>
      <c r="Q46" s="16"/>
      <c r="R46" s="16"/>
      <c r="S46" s="16"/>
      <c r="T46" s="16"/>
      <c r="U46" s="16"/>
      <c r="V46" s="16"/>
      <c r="W46" s="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6"/>
      <c r="BB46" s="16"/>
      <c r="BC46" s="16"/>
      <c r="BD46" s="16"/>
      <c r="BE46" s="16"/>
      <c r="BF46" s="16"/>
      <c r="BG46" s="180"/>
    </row>
    <row r="47" spans="1:59" s="57" customFormat="1" x14ac:dyDescent="0.2">
      <c r="A47" s="191"/>
      <c r="B47" s="72"/>
      <c r="C47" s="19"/>
      <c r="D47" s="19"/>
      <c r="E47" s="19"/>
      <c r="F47" s="20">
        <f>Data!F64</f>
        <v>35</v>
      </c>
      <c r="G47" s="20">
        <f>Data!G64</f>
        <v>71</v>
      </c>
      <c r="H47" s="20">
        <f>Data!H64</f>
        <v>52</v>
      </c>
      <c r="I47" s="24">
        <f>Data!I64</f>
        <v>319</v>
      </c>
      <c r="J47" s="22">
        <f>Data!J64</f>
        <v>138</v>
      </c>
      <c r="K47" s="23">
        <f>Data!K64</f>
        <v>545</v>
      </c>
      <c r="L47" s="24">
        <f>Data!L64</f>
        <v>299</v>
      </c>
      <c r="M47" s="22">
        <f>Data!M64</f>
        <v>152</v>
      </c>
      <c r="N47" s="22">
        <f>Data!N64</f>
        <v>195</v>
      </c>
      <c r="O47" s="20">
        <f>Data!O64</f>
        <v>105</v>
      </c>
      <c r="P47" s="24">
        <f>Data!P64</f>
        <v>283</v>
      </c>
      <c r="Q47" s="22">
        <f>Data!Q64</f>
        <v>112</v>
      </c>
      <c r="R47" s="20">
        <f>Data!R64</f>
        <v>-31</v>
      </c>
      <c r="S47" s="20">
        <f>Data!S64</f>
        <v>-9</v>
      </c>
      <c r="T47" s="22">
        <f>Data!T64</f>
        <v>101</v>
      </c>
      <c r="U47" s="20">
        <f>Data!U64</f>
        <v>-53</v>
      </c>
      <c r="V47" s="20">
        <f>Data!V64</f>
        <v>-45</v>
      </c>
      <c r="W47" s="20">
        <f>Data!W64</f>
        <v>-99</v>
      </c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  <c r="BA47" s="19"/>
      <c r="BB47" s="19"/>
      <c r="BC47" s="19"/>
      <c r="BD47" s="19"/>
      <c r="BE47" s="19"/>
      <c r="BF47" s="19"/>
      <c r="BG47" s="180"/>
    </row>
    <row r="48" spans="1:59" s="57" customFormat="1" x14ac:dyDescent="0.2">
      <c r="A48" s="191"/>
      <c r="B48" s="72"/>
      <c r="C48" s="19"/>
      <c r="D48" s="20">
        <f>Data!D65</f>
        <v>-99</v>
      </c>
      <c r="E48" s="19"/>
      <c r="F48" s="20">
        <f>Data!F65</f>
        <v>-26</v>
      </c>
      <c r="G48" s="19"/>
      <c r="H48" s="20">
        <f>Data!H65</f>
        <v>80</v>
      </c>
      <c r="I48" s="22">
        <f>Data!I65</f>
        <v>122</v>
      </c>
      <c r="J48" s="22">
        <f>Data!J65</f>
        <v>185</v>
      </c>
      <c r="K48" s="20">
        <f>Data!K65</f>
        <v>31</v>
      </c>
      <c r="L48" s="20">
        <f>Data!L65</f>
        <v>19</v>
      </c>
      <c r="M48" s="20">
        <f>Data!M65</f>
        <v>-45</v>
      </c>
      <c r="N48" s="19"/>
      <c r="O48" s="20">
        <f>Data!O65</f>
        <v>-58</v>
      </c>
      <c r="P48" s="19"/>
      <c r="Q48" s="20">
        <f>Data!Q65</f>
        <v>-82</v>
      </c>
      <c r="R48" s="19"/>
      <c r="S48" s="19"/>
      <c r="T48" s="20">
        <f>Data!T65</f>
        <v>-99</v>
      </c>
      <c r="U48" s="19"/>
      <c r="V48" s="19"/>
      <c r="W48" s="19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  <c r="BA48" s="19"/>
      <c r="BB48" s="19"/>
      <c r="BC48" s="19"/>
      <c r="BD48" s="19"/>
      <c r="BE48" s="19"/>
      <c r="BF48" s="19"/>
      <c r="BG48" s="180"/>
    </row>
    <row r="49" spans="1:59" s="57" customFormat="1" x14ac:dyDescent="0.2">
      <c r="A49" s="192"/>
      <c r="B49" s="73"/>
      <c r="C49" s="33"/>
      <c r="D49" s="33"/>
      <c r="E49" s="33"/>
      <c r="F49" s="25">
        <f>Data!F66</f>
        <v>-12</v>
      </c>
      <c r="G49" s="25">
        <f>Data!G66</f>
        <v>-87</v>
      </c>
      <c r="H49" s="25">
        <f>Data!H66</f>
        <v>28</v>
      </c>
      <c r="I49" s="29">
        <f>Data!I66</f>
        <v>264</v>
      </c>
      <c r="J49" s="29">
        <f>Data!J66</f>
        <v>217</v>
      </c>
      <c r="K49" s="27">
        <f>Data!K66</f>
        <v>391</v>
      </c>
      <c r="L49" s="25">
        <f>Data!L66</f>
        <v>83</v>
      </c>
      <c r="M49" s="25">
        <f>Data!M66</f>
        <v>23</v>
      </c>
      <c r="N49" s="25">
        <f>Data!N66</f>
        <v>21</v>
      </c>
      <c r="O49" s="25">
        <f>Data!O66</f>
        <v>113</v>
      </c>
      <c r="P49" s="29">
        <f>Data!P66</f>
        <v>169</v>
      </c>
      <c r="Q49" s="25">
        <f>Data!Q66</f>
        <v>-93</v>
      </c>
      <c r="R49" s="25">
        <f>Data!R66</f>
        <v>-18</v>
      </c>
      <c r="S49" s="25">
        <f>Data!S66</f>
        <v>-15</v>
      </c>
      <c r="T49" s="25">
        <f>Data!T66</f>
        <v>-43</v>
      </c>
      <c r="U49" s="33"/>
      <c r="V49" s="33"/>
      <c r="W49" s="33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3"/>
      <c r="BB49" s="33"/>
      <c r="BC49" s="33"/>
      <c r="BD49" s="33"/>
      <c r="BE49" s="33"/>
      <c r="BF49" s="19"/>
      <c r="BG49" s="180"/>
    </row>
    <row r="50" spans="1:59" x14ac:dyDescent="0.2">
      <c r="A50" s="190" t="s">
        <v>47</v>
      </c>
      <c r="B50" s="16"/>
      <c r="C50" s="16"/>
      <c r="D50" s="16"/>
      <c r="E50" s="16"/>
      <c r="F50" s="16"/>
      <c r="G50" s="16"/>
      <c r="H50" s="17">
        <f>Data!H28</f>
        <v>254</v>
      </c>
      <c r="I50" s="18">
        <f>Data!I28</f>
        <v>147</v>
      </c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6"/>
      <c r="BB50" s="16"/>
      <c r="BC50" s="16"/>
      <c r="BD50" s="16"/>
      <c r="BE50" s="16"/>
      <c r="BF50" s="16"/>
      <c r="BG50" s="180"/>
    </row>
    <row r="51" spans="1:59" x14ac:dyDescent="0.2">
      <c r="A51" s="191"/>
      <c r="B51" s="19"/>
      <c r="C51" s="19"/>
      <c r="D51" s="19"/>
      <c r="E51" s="19"/>
      <c r="F51" s="20">
        <f>Data!F29</f>
        <v>-40</v>
      </c>
      <c r="G51" s="20">
        <f>Data!G29</f>
        <v>-50</v>
      </c>
      <c r="H51" s="19"/>
      <c r="I51" s="19"/>
      <c r="J51" s="19"/>
      <c r="K51" s="19"/>
      <c r="L51" s="19"/>
      <c r="M51" s="21">
        <f>Data!M29</f>
        <v>278</v>
      </c>
      <c r="N51" s="21">
        <f>Data!N29</f>
        <v>245</v>
      </c>
      <c r="O51" s="22">
        <f>Data!O29</f>
        <v>130</v>
      </c>
      <c r="P51" s="22">
        <f>Data!P29</f>
        <v>171</v>
      </c>
      <c r="Q51" s="22">
        <f>Data!Q29</f>
        <v>155</v>
      </c>
      <c r="R51" s="21">
        <f>Data!R29</f>
        <v>180</v>
      </c>
      <c r="S51" s="21">
        <f>Data!S29</f>
        <v>223</v>
      </c>
      <c r="T51" s="19"/>
      <c r="U51" s="22">
        <f>Data!U29</f>
        <v>12</v>
      </c>
      <c r="V51" s="19"/>
      <c r="W51" s="20">
        <f>Data!W29</f>
        <v>10</v>
      </c>
      <c r="X51" s="19"/>
      <c r="Y51" s="20">
        <f>Data!Y29</f>
        <v>95</v>
      </c>
      <c r="Z51" s="20">
        <f>Data!Z29</f>
        <v>-4</v>
      </c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/>
      <c r="BA51" s="19"/>
      <c r="BB51" s="19"/>
      <c r="BC51" s="19"/>
      <c r="BD51" s="19"/>
      <c r="BE51" s="19"/>
      <c r="BG51" s="180"/>
    </row>
    <row r="52" spans="1:59" x14ac:dyDescent="0.2">
      <c r="A52" s="191"/>
      <c r="B52" s="19"/>
      <c r="C52" s="19"/>
      <c r="D52" s="19"/>
      <c r="E52" s="19"/>
      <c r="F52" s="22">
        <f>Data!F30</f>
        <v>262</v>
      </c>
      <c r="G52" s="22">
        <f>Data!G30</f>
        <v>10</v>
      </c>
      <c r="H52" s="23">
        <f>Data!H30</f>
        <v>563</v>
      </c>
      <c r="I52" s="24">
        <f>Data!I30</f>
        <v>416</v>
      </c>
      <c r="J52" s="22">
        <f>Data!J30</f>
        <v>91</v>
      </c>
      <c r="K52" s="24">
        <f>Data!K30</f>
        <v>320</v>
      </c>
      <c r="L52" s="24">
        <f>Data!L30</f>
        <v>435</v>
      </c>
      <c r="M52" s="21">
        <f>Data!M30</f>
        <v>256</v>
      </c>
      <c r="N52" s="21">
        <f>Data!N30</f>
        <v>257</v>
      </c>
      <c r="O52" s="21">
        <f>Data!O30</f>
        <v>251</v>
      </c>
      <c r="P52" s="23">
        <f>Data!P30</f>
        <v>466</v>
      </c>
      <c r="Q52" s="20">
        <f>Data!Q30</f>
        <v>85</v>
      </c>
      <c r="R52" s="24">
        <f>Data!R30</f>
        <v>236</v>
      </c>
      <c r="S52" s="21">
        <f>Data!S30</f>
        <v>149</v>
      </c>
      <c r="T52" s="20">
        <f>Data!T30</f>
        <v>-27</v>
      </c>
      <c r="U52" s="21">
        <f>Data!U30</f>
        <v>204</v>
      </c>
      <c r="V52" s="20">
        <f>Data!V30</f>
        <v>-74</v>
      </c>
      <c r="W52" s="20">
        <f>Data!W30</f>
        <v>-9</v>
      </c>
      <c r="X52" s="19"/>
      <c r="Y52" s="20">
        <f>Data!Y30</f>
        <v>59</v>
      </c>
      <c r="Z52" s="20">
        <f>Data!Z30</f>
        <v>-86</v>
      </c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9"/>
      <c r="BB52" s="19"/>
      <c r="BC52" s="19"/>
      <c r="BD52" s="19"/>
      <c r="BE52" s="19"/>
      <c r="BG52" s="180"/>
    </row>
    <row r="53" spans="1:59" x14ac:dyDescent="0.2">
      <c r="A53" s="192"/>
      <c r="B53" s="33"/>
      <c r="C53" s="33"/>
      <c r="D53" s="25">
        <f>Data!D31</f>
        <v>-18</v>
      </c>
      <c r="E53" s="25">
        <f>Data!E31</f>
        <v>-43</v>
      </c>
      <c r="F53" s="25">
        <f>Data!F31</f>
        <v>-15</v>
      </c>
      <c r="G53" s="26">
        <f>Data!G31</f>
        <v>206</v>
      </c>
      <c r="H53" s="27">
        <f>Data!H31</f>
        <v>557</v>
      </c>
      <c r="I53" s="28">
        <f>Data!I31</f>
        <v>389</v>
      </c>
      <c r="J53" s="27">
        <f>Data!J31</f>
        <v>448</v>
      </c>
      <c r="K53" s="28">
        <f>Data!K31</f>
        <v>363</v>
      </c>
      <c r="L53" s="27">
        <f>Data!L31</f>
        <v>492</v>
      </c>
      <c r="M53" s="29">
        <f>Data!M31</f>
        <v>272</v>
      </c>
      <c r="N53" s="29">
        <f>Data!N31</f>
        <v>249</v>
      </c>
      <c r="O53" s="29">
        <f>Data!O31</f>
        <v>169</v>
      </c>
      <c r="P53" s="27">
        <f>Data!P31</f>
        <v>450</v>
      </c>
      <c r="Q53" s="27">
        <f>Data!Q31</f>
        <v>476</v>
      </c>
      <c r="R53" s="29">
        <f>Data!R31</f>
        <v>280</v>
      </c>
      <c r="S53" s="29">
        <f>Data!S31</f>
        <v>226</v>
      </c>
      <c r="T53" s="25">
        <f>Data!T31</f>
        <v>-70</v>
      </c>
      <c r="U53" s="29">
        <f>Data!U31</f>
        <v>237</v>
      </c>
      <c r="V53" s="26">
        <f>Data!V31</f>
        <v>41</v>
      </c>
      <c r="W53" s="26">
        <f>Data!W31</f>
        <v>173</v>
      </c>
      <c r="X53" s="30"/>
      <c r="Y53" s="29">
        <f>Data!Y31</f>
        <v>280</v>
      </c>
      <c r="Z53" s="25">
        <f>Data!Z31</f>
        <v>38</v>
      </c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3"/>
      <c r="BB53" s="33"/>
      <c r="BC53" s="33"/>
      <c r="BD53" s="33"/>
      <c r="BE53" s="33"/>
      <c r="BG53" s="180"/>
    </row>
    <row r="54" spans="1:59" s="164" customFormat="1" x14ac:dyDescent="0.2">
      <c r="A54" s="190" t="s">
        <v>170</v>
      </c>
      <c r="B54" s="19"/>
      <c r="C54" s="19"/>
      <c r="D54" s="19"/>
      <c r="E54" s="4"/>
      <c r="F54" s="4"/>
      <c r="G54" s="4"/>
      <c r="H54" s="4"/>
      <c r="I54" s="4"/>
      <c r="J54" s="4"/>
      <c r="K54" s="6">
        <v>218</v>
      </c>
      <c r="L54" s="4"/>
      <c r="M54" s="4"/>
      <c r="N54" s="3">
        <v>-99</v>
      </c>
      <c r="O54" s="4"/>
      <c r="P54" s="4"/>
      <c r="Q54" s="3">
        <v>-66</v>
      </c>
      <c r="R54" s="3">
        <v>-62</v>
      </c>
      <c r="S54" s="4"/>
      <c r="T54" s="19"/>
      <c r="U54" s="19"/>
      <c r="V54" s="19"/>
      <c r="W54" s="19"/>
      <c r="X54" s="19"/>
      <c r="Y54" s="19"/>
      <c r="Z54" s="19"/>
      <c r="AA54" s="165"/>
      <c r="AB54" s="165"/>
      <c r="AC54" s="165"/>
      <c r="AD54" s="165"/>
      <c r="AE54" s="165"/>
      <c r="AF54" s="165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S54" s="165"/>
      <c r="AT54" s="165"/>
      <c r="AU54" s="165"/>
      <c r="AV54" s="165"/>
      <c r="AW54" s="165"/>
      <c r="AX54" s="165"/>
      <c r="AY54" s="165"/>
      <c r="AZ54" s="165"/>
      <c r="BA54" s="19"/>
      <c r="BB54" s="19"/>
      <c r="BC54" s="19"/>
      <c r="BD54" s="19"/>
      <c r="BE54" s="19"/>
      <c r="BF54" s="16"/>
      <c r="BG54" s="180"/>
    </row>
    <row r="55" spans="1:59" s="164" customFormat="1" x14ac:dyDescent="0.2">
      <c r="A55" s="191"/>
      <c r="B55" s="19"/>
      <c r="C55" s="19"/>
      <c r="D55" s="19"/>
      <c r="E55" s="4"/>
      <c r="F55" s="4"/>
      <c r="G55" s="4"/>
      <c r="H55" s="4"/>
      <c r="I55" s="4"/>
      <c r="J55" s="4"/>
      <c r="K55" s="4"/>
      <c r="L55" s="4"/>
      <c r="M55" s="8">
        <v>299</v>
      </c>
      <c r="N55" s="7">
        <v>247</v>
      </c>
      <c r="O55" s="3">
        <v>-59</v>
      </c>
      <c r="P55" s="5">
        <v>160</v>
      </c>
      <c r="Q55" s="3">
        <v>-79</v>
      </c>
      <c r="R55" s="3">
        <v>-98</v>
      </c>
      <c r="S55" s="3">
        <v>-30</v>
      </c>
      <c r="T55" s="19"/>
      <c r="U55" s="19"/>
      <c r="V55" s="19"/>
      <c r="W55" s="19"/>
      <c r="X55" s="19"/>
      <c r="Y55" s="19"/>
      <c r="Z55" s="19"/>
      <c r="AA55" s="165"/>
      <c r="AB55" s="165"/>
      <c r="AC55" s="165"/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65"/>
      <c r="AS55" s="165"/>
      <c r="AT55" s="165"/>
      <c r="AU55" s="165"/>
      <c r="AV55" s="165"/>
      <c r="AW55" s="165"/>
      <c r="AX55" s="165"/>
      <c r="AY55" s="165"/>
      <c r="AZ55" s="165"/>
      <c r="BA55" s="19"/>
      <c r="BB55" s="19"/>
      <c r="BC55" s="19"/>
      <c r="BD55" s="19"/>
      <c r="BE55" s="19"/>
      <c r="BF55" s="19"/>
      <c r="BG55" s="180"/>
    </row>
    <row r="56" spans="1:59" s="164" customFormat="1" x14ac:dyDescent="0.2">
      <c r="A56" s="191"/>
      <c r="B56" s="19"/>
      <c r="C56" s="19"/>
      <c r="D56" s="19"/>
      <c r="E56" s="4"/>
      <c r="F56" s="4"/>
      <c r="G56" s="4"/>
      <c r="H56" s="3">
        <v>-47</v>
      </c>
      <c r="I56" s="3">
        <v>-71</v>
      </c>
      <c r="J56" s="5">
        <v>146</v>
      </c>
      <c r="K56" s="8">
        <v>207</v>
      </c>
      <c r="L56" s="8">
        <v>230</v>
      </c>
      <c r="M56" s="3">
        <v>-37</v>
      </c>
      <c r="N56" s="3">
        <v>30</v>
      </c>
      <c r="O56" s="3">
        <v>131</v>
      </c>
      <c r="P56" s="5">
        <v>160</v>
      </c>
      <c r="Q56" s="3">
        <v>8</v>
      </c>
      <c r="R56" s="3">
        <v>44</v>
      </c>
      <c r="S56" s="3">
        <v>65</v>
      </c>
      <c r="T56" s="19"/>
      <c r="U56" s="19"/>
      <c r="V56" s="19"/>
      <c r="W56" s="19"/>
      <c r="X56" s="19"/>
      <c r="Y56" s="19"/>
      <c r="Z56" s="19"/>
      <c r="AA56" s="165"/>
      <c r="AB56" s="165"/>
      <c r="AC56" s="165"/>
      <c r="AD56" s="165"/>
      <c r="AE56" s="165"/>
      <c r="AF56" s="165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S56" s="165"/>
      <c r="AT56" s="165"/>
      <c r="AU56" s="165"/>
      <c r="AV56" s="165"/>
      <c r="AW56" s="165"/>
      <c r="AX56" s="165"/>
      <c r="AY56" s="165"/>
      <c r="AZ56" s="165"/>
      <c r="BA56" s="19"/>
      <c r="BB56" s="19"/>
      <c r="BC56" s="19"/>
      <c r="BD56" s="19"/>
      <c r="BE56" s="19"/>
      <c r="BF56" s="19"/>
      <c r="BG56" s="180"/>
    </row>
    <row r="57" spans="1:59" s="164" customFormat="1" x14ac:dyDescent="0.2">
      <c r="A57" s="192"/>
      <c r="B57" s="19"/>
      <c r="C57" s="19"/>
      <c r="D57" s="19"/>
      <c r="E57" s="3">
        <v>-80</v>
      </c>
      <c r="F57" s="3">
        <v>18</v>
      </c>
      <c r="G57" s="3">
        <v>-32</v>
      </c>
      <c r="H57" s="3">
        <v>-7</v>
      </c>
      <c r="I57" s="3">
        <v>-46</v>
      </c>
      <c r="J57" s="3">
        <v>54</v>
      </c>
      <c r="K57" s="3">
        <v>38</v>
      </c>
      <c r="L57" s="8">
        <v>190</v>
      </c>
      <c r="M57" s="7">
        <v>390</v>
      </c>
      <c r="N57" s="3">
        <v>13</v>
      </c>
      <c r="O57" s="8">
        <v>275</v>
      </c>
      <c r="P57" s="3">
        <v>-50</v>
      </c>
      <c r="Q57" s="3">
        <v>-10</v>
      </c>
      <c r="R57" s="3">
        <v>38</v>
      </c>
      <c r="S57" s="3">
        <v>6</v>
      </c>
      <c r="T57" s="19"/>
      <c r="U57" s="19"/>
      <c r="V57" s="19"/>
      <c r="W57" s="19"/>
      <c r="X57" s="19"/>
      <c r="Y57" s="19"/>
      <c r="Z57" s="19"/>
      <c r="AA57" s="165"/>
      <c r="AB57" s="165"/>
      <c r="AC57" s="165"/>
      <c r="AD57" s="165"/>
      <c r="AE57" s="165"/>
      <c r="AF57" s="165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165"/>
      <c r="AS57" s="165"/>
      <c r="AT57" s="165"/>
      <c r="AU57" s="165"/>
      <c r="AV57" s="165"/>
      <c r="AW57" s="165"/>
      <c r="AX57" s="165"/>
      <c r="AY57" s="165"/>
      <c r="AZ57" s="165"/>
      <c r="BA57" s="19"/>
      <c r="BB57" s="19"/>
      <c r="BC57" s="19"/>
      <c r="BD57" s="19"/>
      <c r="BE57" s="19"/>
      <c r="BF57" s="19"/>
      <c r="BG57" s="180"/>
    </row>
    <row r="58" spans="1:59" x14ac:dyDescent="0.2">
      <c r="A58" s="190" t="s">
        <v>19</v>
      </c>
      <c r="B58" s="116"/>
      <c r="C58" s="116"/>
      <c r="D58" s="116"/>
      <c r="E58" s="116"/>
      <c r="F58" s="116"/>
      <c r="G58" s="16"/>
      <c r="H58" s="31">
        <f>Data!E23</f>
        <v>32</v>
      </c>
      <c r="I58" s="16"/>
      <c r="J58" s="16"/>
      <c r="K58" s="16"/>
      <c r="L58" s="16"/>
      <c r="M58" s="16"/>
      <c r="N58" s="16"/>
      <c r="O58" s="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6"/>
      <c r="BB58" s="16"/>
      <c r="BC58" s="16"/>
      <c r="BD58" s="16"/>
      <c r="BE58" s="16"/>
      <c r="BF58" s="16"/>
      <c r="BG58" s="180"/>
    </row>
    <row r="59" spans="1:59" x14ac:dyDescent="0.2">
      <c r="A59" s="191"/>
      <c r="B59" s="117"/>
      <c r="C59" s="117"/>
      <c r="D59" s="117"/>
      <c r="E59" s="117"/>
      <c r="F59" s="117"/>
      <c r="G59" s="20">
        <f>Data!D24</f>
        <v>171</v>
      </c>
      <c r="H59" s="23">
        <f>Data!E24</f>
        <v>349</v>
      </c>
      <c r="I59" s="23">
        <f>Data!F24</f>
        <v>428</v>
      </c>
      <c r="J59" s="22">
        <f>Data!G24</f>
        <v>134</v>
      </c>
      <c r="K59" s="19"/>
      <c r="L59" s="23">
        <f>Data!I24</f>
        <v>484</v>
      </c>
      <c r="M59" s="23">
        <f>Data!J24</f>
        <v>314</v>
      </c>
      <c r="N59" s="23">
        <f>Data!K24</f>
        <v>469</v>
      </c>
      <c r="O59" s="23">
        <f>Data!L24</f>
        <v>351</v>
      </c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  <c r="AZ59" s="117"/>
      <c r="BA59" s="19"/>
      <c r="BB59" s="19"/>
      <c r="BC59" s="19"/>
      <c r="BD59" s="19"/>
      <c r="BE59" s="19"/>
      <c r="BG59" s="180"/>
    </row>
    <row r="60" spans="1:59" x14ac:dyDescent="0.2">
      <c r="A60" s="191"/>
      <c r="B60" s="117"/>
      <c r="C60" s="117"/>
      <c r="D60" s="117"/>
      <c r="E60" s="117"/>
      <c r="F60" s="117"/>
      <c r="G60" s="22">
        <f>Data!D25</f>
        <v>91</v>
      </c>
      <c r="H60" s="20">
        <f>Data!E25</f>
        <v>9</v>
      </c>
      <c r="I60" s="22">
        <f>Data!F25</f>
        <v>184</v>
      </c>
      <c r="J60" s="23">
        <f>Data!G25</f>
        <v>466</v>
      </c>
      <c r="K60" s="23">
        <f>Data!H25</f>
        <v>572</v>
      </c>
      <c r="L60" s="23">
        <f>Data!I25</f>
        <v>442</v>
      </c>
      <c r="M60" s="23">
        <f>Data!J25</f>
        <v>539</v>
      </c>
      <c r="N60" s="23">
        <f>Data!K25</f>
        <v>470</v>
      </c>
      <c r="O60" s="24">
        <f>Data!L25</f>
        <v>519</v>
      </c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9"/>
      <c r="BB60" s="19"/>
      <c r="BC60" s="19"/>
      <c r="BD60" s="19"/>
      <c r="BE60" s="19"/>
      <c r="BG60" s="180"/>
    </row>
    <row r="61" spans="1:59" x14ac:dyDescent="0.2">
      <c r="A61" s="192"/>
      <c r="B61" s="30"/>
      <c r="C61" s="30"/>
      <c r="D61" s="30"/>
      <c r="E61" s="30"/>
      <c r="F61" s="30"/>
      <c r="G61" s="25">
        <f>Data!D26</f>
        <v>96</v>
      </c>
      <c r="H61" s="25">
        <f>Data!E26</f>
        <v>-38</v>
      </c>
      <c r="I61" s="29">
        <f>Data!F26</f>
        <v>317</v>
      </c>
      <c r="J61" s="28">
        <f>Data!G26</f>
        <v>390</v>
      </c>
      <c r="K61" s="25">
        <f>Data!H26</f>
        <v>3</v>
      </c>
      <c r="L61" s="28">
        <f>Data!I26</f>
        <v>366</v>
      </c>
      <c r="M61" s="26">
        <f>Data!J26</f>
        <v>81</v>
      </c>
      <c r="N61" s="28">
        <f>Data!K26</f>
        <v>432</v>
      </c>
      <c r="O61" s="28">
        <f>Data!L26</f>
        <v>306</v>
      </c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3"/>
      <c r="BB61" s="33"/>
      <c r="BC61" s="33"/>
      <c r="BD61" s="33"/>
      <c r="BE61" s="33"/>
      <c r="BG61" s="180"/>
    </row>
    <row r="62" spans="1:59" s="167" customFormat="1" x14ac:dyDescent="0.2">
      <c r="A62" s="190" t="s">
        <v>171</v>
      </c>
      <c r="B62" s="116"/>
      <c r="C62" s="116"/>
      <c r="D62" s="116"/>
      <c r="E62" s="116"/>
      <c r="F62" s="116"/>
      <c r="G62" s="16"/>
      <c r="H62" s="16"/>
      <c r="I62" s="16"/>
      <c r="J62" s="16"/>
      <c r="K62" s="31">
        <v>-2</v>
      </c>
      <c r="L62" s="16"/>
      <c r="M62" s="16"/>
      <c r="N62" s="17">
        <v>333</v>
      </c>
      <c r="O62" s="16"/>
      <c r="P62" s="44">
        <v>94</v>
      </c>
      <c r="Q62" s="31">
        <v>-13</v>
      </c>
      <c r="R62" s="16"/>
      <c r="S62" s="16"/>
      <c r="T62" s="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6"/>
      <c r="BB62" s="16"/>
      <c r="BC62" s="16"/>
      <c r="BD62" s="16"/>
      <c r="BE62" s="16"/>
      <c r="BF62" s="16"/>
      <c r="BG62" s="180"/>
    </row>
    <row r="63" spans="1:59" s="167" customFormat="1" x14ac:dyDescent="0.2">
      <c r="A63" s="191"/>
      <c r="B63" s="168"/>
      <c r="C63" s="168"/>
      <c r="D63" s="168"/>
      <c r="E63" s="168"/>
      <c r="F63" s="168"/>
      <c r="G63" s="19"/>
      <c r="H63" s="19"/>
      <c r="I63" s="19"/>
      <c r="J63" s="19"/>
      <c r="K63" s="20">
        <v>-98</v>
      </c>
      <c r="L63" s="20">
        <v>102</v>
      </c>
      <c r="M63" s="20">
        <v>-98</v>
      </c>
      <c r="N63" s="19"/>
      <c r="O63" s="19"/>
      <c r="P63" s="19"/>
      <c r="Q63" s="19"/>
      <c r="R63" s="19"/>
      <c r="S63" s="19"/>
      <c r="T63" s="19"/>
      <c r="U63" s="168"/>
      <c r="V63" s="168"/>
      <c r="W63" s="168"/>
      <c r="X63" s="168"/>
      <c r="Y63" s="168"/>
      <c r="Z63" s="168"/>
      <c r="AA63" s="168"/>
      <c r="AB63" s="168"/>
      <c r="AC63" s="168"/>
      <c r="AD63" s="168"/>
      <c r="AE63" s="168"/>
      <c r="AF63" s="168"/>
      <c r="AG63" s="168"/>
      <c r="AH63" s="168"/>
      <c r="AI63" s="168"/>
      <c r="AJ63" s="168"/>
      <c r="AK63" s="168"/>
      <c r="AL63" s="168"/>
      <c r="AM63" s="168"/>
      <c r="AN63" s="168"/>
      <c r="AO63" s="168"/>
      <c r="AP63" s="168"/>
      <c r="AQ63" s="168"/>
      <c r="AR63" s="168"/>
      <c r="AS63" s="168"/>
      <c r="AT63" s="168"/>
      <c r="AU63" s="168"/>
      <c r="AV63" s="168"/>
      <c r="AW63" s="168"/>
      <c r="AX63" s="168"/>
      <c r="AY63" s="168"/>
      <c r="AZ63" s="168"/>
      <c r="BA63" s="19"/>
      <c r="BB63" s="19"/>
      <c r="BC63" s="19"/>
      <c r="BD63" s="19"/>
      <c r="BE63" s="19"/>
      <c r="BF63" s="19"/>
      <c r="BG63" s="180"/>
    </row>
    <row r="64" spans="1:59" s="167" customFormat="1" x14ac:dyDescent="0.2">
      <c r="A64" s="191"/>
      <c r="B64" s="168"/>
      <c r="C64" s="168"/>
      <c r="D64" s="168"/>
      <c r="E64" s="168"/>
      <c r="F64" s="168"/>
      <c r="G64" s="19"/>
      <c r="H64" s="19"/>
      <c r="I64" s="19"/>
      <c r="J64" s="20">
        <v>-98</v>
      </c>
      <c r="K64" s="20">
        <v>-41</v>
      </c>
      <c r="L64" s="20">
        <v>61</v>
      </c>
      <c r="M64" s="20">
        <v>114</v>
      </c>
      <c r="N64" s="20">
        <v>-69</v>
      </c>
      <c r="O64" s="20">
        <v>-27</v>
      </c>
      <c r="P64" s="22">
        <v>203</v>
      </c>
      <c r="Q64" s="20">
        <v>128</v>
      </c>
      <c r="R64" s="20">
        <v>-89</v>
      </c>
      <c r="S64" s="20">
        <v>-56</v>
      </c>
      <c r="T64" s="20">
        <v>-3</v>
      </c>
      <c r="U64" s="168"/>
      <c r="V64" s="168"/>
      <c r="W64" s="168"/>
      <c r="X64" s="168"/>
      <c r="Y64" s="168"/>
      <c r="Z64" s="168"/>
      <c r="AA64" s="168"/>
      <c r="AB64" s="168"/>
      <c r="AC64" s="168"/>
      <c r="AD64" s="168"/>
      <c r="AE64" s="168"/>
      <c r="AF64" s="168"/>
      <c r="AG64" s="168"/>
      <c r="AH64" s="168"/>
      <c r="AI64" s="168"/>
      <c r="AJ64" s="168"/>
      <c r="AK64" s="168"/>
      <c r="AL64" s="168"/>
      <c r="AM64" s="168"/>
      <c r="AN64" s="168"/>
      <c r="AO64" s="168"/>
      <c r="AP64" s="168"/>
      <c r="AQ64" s="168"/>
      <c r="AR64" s="168"/>
      <c r="AS64" s="168"/>
      <c r="AT64" s="168"/>
      <c r="AU64" s="168"/>
      <c r="AV64" s="168"/>
      <c r="AW64" s="168"/>
      <c r="AX64" s="168"/>
      <c r="AY64" s="168"/>
      <c r="AZ64" s="168"/>
      <c r="BA64" s="19"/>
      <c r="BB64" s="19"/>
      <c r="BC64" s="19"/>
      <c r="BD64" s="19"/>
      <c r="BE64" s="19"/>
      <c r="BF64" s="19"/>
      <c r="BG64" s="180"/>
    </row>
    <row r="65" spans="1:59" s="167" customFormat="1" x14ac:dyDescent="0.2">
      <c r="A65" s="192"/>
      <c r="B65" s="30"/>
      <c r="C65" s="30"/>
      <c r="D65" s="30"/>
      <c r="E65" s="30"/>
      <c r="F65" s="30"/>
      <c r="G65" s="25">
        <v>-15</v>
      </c>
      <c r="H65" s="25">
        <v>94</v>
      </c>
      <c r="I65" s="25">
        <v>-99</v>
      </c>
      <c r="J65" s="25">
        <v>-86</v>
      </c>
      <c r="K65" s="25">
        <v>-35</v>
      </c>
      <c r="L65" s="25">
        <v>70</v>
      </c>
      <c r="M65" s="25">
        <v>-99</v>
      </c>
      <c r="N65" s="25">
        <v>166</v>
      </c>
      <c r="O65" s="25">
        <v>-34</v>
      </c>
      <c r="P65" s="25">
        <v>-35</v>
      </c>
      <c r="Q65" s="25">
        <v>-79</v>
      </c>
      <c r="R65" s="25">
        <v>-2</v>
      </c>
      <c r="S65" s="25">
        <v>-13</v>
      </c>
      <c r="T65" s="25">
        <v>-69</v>
      </c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3"/>
      <c r="BB65" s="33"/>
      <c r="BC65" s="33"/>
      <c r="BD65" s="33"/>
      <c r="BE65" s="33"/>
      <c r="BF65" s="33"/>
      <c r="BG65" s="180"/>
    </row>
    <row r="66" spans="1:59" s="153" customFormat="1" x14ac:dyDescent="0.2">
      <c r="A66" s="191" t="s">
        <v>167</v>
      </c>
      <c r="B66" s="154"/>
      <c r="C66" s="154"/>
      <c r="D66" s="154"/>
      <c r="E66" s="154"/>
      <c r="F66" s="154"/>
      <c r="G66" s="19"/>
      <c r="H66" s="19"/>
      <c r="I66" s="3">
        <f>Data!D203</f>
        <v>-3</v>
      </c>
      <c r="J66" s="6">
        <f>Data!E203</f>
        <v>528</v>
      </c>
      <c r="K66" s="5">
        <f>Data!F203</f>
        <v>19</v>
      </c>
      <c r="L66" s="3">
        <f>Data!G203</f>
        <v>-8</v>
      </c>
      <c r="M66" s="5">
        <f>Data!H203</f>
        <v>-1</v>
      </c>
      <c r="N66" s="3">
        <f>Data!I203</f>
        <v>137</v>
      </c>
      <c r="O66" s="8">
        <f>Data!J203</f>
        <v>117</v>
      </c>
      <c r="P66" s="3">
        <f>Data!K203</f>
        <v>-99</v>
      </c>
      <c r="Q66" s="3">
        <f>Data!L203</f>
        <v>-13</v>
      </c>
      <c r="R66" s="3">
        <f>Data!M203</f>
        <v>-99</v>
      </c>
      <c r="S66" s="3">
        <f>Data!N203</f>
        <v>-99</v>
      </c>
      <c r="T66" s="4"/>
      <c r="U66" s="3">
        <f>Data!P203</f>
        <v>-13</v>
      </c>
      <c r="V66" s="154"/>
      <c r="W66" s="154"/>
      <c r="X66" s="154"/>
      <c r="Y66" s="154"/>
      <c r="Z66" s="154"/>
      <c r="AA66" s="154"/>
      <c r="AB66" s="154"/>
      <c r="AC66" s="154"/>
      <c r="AD66" s="154"/>
      <c r="AE66" s="154"/>
      <c r="AF66" s="154"/>
      <c r="AG66" s="154"/>
      <c r="AH66" s="154"/>
      <c r="AI66" s="154"/>
      <c r="AJ66" s="154"/>
      <c r="AK66" s="154"/>
      <c r="AL66" s="154"/>
      <c r="AM66" s="154"/>
      <c r="AN66" s="154"/>
      <c r="AO66" s="154"/>
      <c r="AP66" s="154"/>
      <c r="AQ66" s="154"/>
      <c r="AR66" s="154"/>
      <c r="AS66" s="154"/>
      <c r="AT66" s="154"/>
      <c r="AU66" s="154"/>
      <c r="AV66" s="154"/>
      <c r="AW66" s="154"/>
      <c r="AX66" s="154"/>
      <c r="AY66" s="154"/>
      <c r="AZ66" s="154"/>
      <c r="BA66" s="19"/>
      <c r="BB66" s="19"/>
      <c r="BC66" s="19"/>
      <c r="BD66" s="19"/>
      <c r="BE66" s="19"/>
      <c r="BF66" s="19"/>
      <c r="BG66" s="180"/>
    </row>
    <row r="67" spans="1:59" s="153" customFormat="1" x14ac:dyDescent="0.2">
      <c r="A67" s="191"/>
      <c r="B67" s="154"/>
      <c r="C67" s="154"/>
      <c r="D67" s="154"/>
      <c r="E67" s="154"/>
      <c r="F67" s="154"/>
      <c r="G67" s="19"/>
      <c r="H67" s="19"/>
      <c r="I67" s="4"/>
      <c r="J67" s="3">
        <f>Data!E204</f>
        <v>-52</v>
      </c>
      <c r="K67" s="3">
        <f>Data!F204</f>
        <v>0</v>
      </c>
      <c r="L67" s="3">
        <f>Data!G204</f>
        <v>-99</v>
      </c>
      <c r="M67" s="3">
        <f>Data!H204</f>
        <v>-8</v>
      </c>
      <c r="N67" s="3">
        <f>Data!I204</f>
        <v>-24</v>
      </c>
      <c r="O67" s="3">
        <f>Data!J204</f>
        <v>-52</v>
      </c>
      <c r="P67" s="4"/>
      <c r="Q67" s="4"/>
      <c r="R67" s="4"/>
      <c r="S67" s="3">
        <f>Data!N204</f>
        <v>-95</v>
      </c>
      <c r="T67" s="3">
        <f>Data!O204</f>
        <v>-99</v>
      </c>
      <c r="U67" s="4"/>
      <c r="V67" s="154"/>
      <c r="W67" s="154"/>
      <c r="X67" s="154"/>
      <c r="Y67" s="154"/>
      <c r="Z67" s="154"/>
      <c r="AA67" s="154"/>
      <c r="AB67" s="154"/>
      <c r="AC67" s="154"/>
      <c r="AD67" s="154"/>
      <c r="AE67" s="154"/>
      <c r="AF67" s="154"/>
      <c r="AG67" s="154"/>
      <c r="AH67" s="154"/>
      <c r="AI67" s="154"/>
      <c r="AJ67" s="154"/>
      <c r="AK67" s="154"/>
      <c r="AL67" s="154"/>
      <c r="AM67" s="154"/>
      <c r="AN67" s="154"/>
      <c r="AO67" s="154"/>
      <c r="AP67" s="154"/>
      <c r="AQ67" s="154"/>
      <c r="AR67" s="154"/>
      <c r="AS67" s="154"/>
      <c r="AT67" s="154"/>
      <c r="AU67" s="154"/>
      <c r="AV67" s="154"/>
      <c r="AW67" s="154"/>
      <c r="AX67" s="154"/>
      <c r="AY67" s="154"/>
      <c r="AZ67" s="154"/>
      <c r="BA67" s="19"/>
      <c r="BB67" s="19"/>
      <c r="BC67" s="19"/>
      <c r="BD67" s="19"/>
      <c r="BE67" s="19"/>
      <c r="BF67" s="19"/>
      <c r="BG67" s="180"/>
    </row>
    <row r="68" spans="1:59" s="153" customFormat="1" x14ac:dyDescent="0.2">
      <c r="A68" s="191"/>
      <c r="B68" s="154"/>
      <c r="C68" s="154"/>
      <c r="D68" s="154"/>
      <c r="E68" s="154"/>
      <c r="F68" s="154"/>
      <c r="G68" s="19"/>
      <c r="H68" s="19"/>
      <c r="I68" s="3">
        <f>Data!D205</f>
        <v>-35</v>
      </c>
      <c r="J68" s="3">
        <f>Data!E205</f>
        <v>58</v>
      </c>
      <c r="K68" s="3">
        <f>Data!F205</f>
        <v>-1</v>
      </c>
      <c r="L68" s="3">
        <f>Data!G205</f>
        <v>39</v>
      </c>
      <c r="M68" s="3">
        <f>Data!H205</f>
        <v>-30</v>
      </c>
      <c r="N68" s="3">
        <f>Data!I205</f>
        <v>-13</v>
      </c>
      <c r="O68" s="3">
        <f>Data!J205</f>
        <v>60</v>
      </c>
      <c r="P68" s="8">
        <f>Data!K205</f>
        <v>205</v>
      </c>
      <c r="Q68" s="3">
        <f>Data!L205</f>
        <v>-6</v>
      </c>
      <c r="R68" s="3">
        <f>Data!M205</f>
        <v>77</v>
      </c>
      <c r="S68" s="3">
        <f>Data!N205</f>
        <v>-78</v>
      </c>
      <c r="T68" s="3">
        <f>Data!O205</f>
        <v>-87</v>
      </c>
      <c r="U68" s="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4"/>
      <c r="AH68" s="154"/>
      <c r="AI68" s="154"/>
      <c r="AJ68" s="154"/>
      <c r="AK68" s="154"/>
      <c r="AL68" s="154"/>
      <c r="AM68" s="154"/>
      <c r="AN68" s="154"/>
      <c r="AO68" s="154"/>
      <c r="AP68" s="154"/>
      <c r="AQ68" s="154"/>
      <c r="AR68" s="154"/>
      <c r="AS68" s="154"/>
      <c r="AT68" s="154"/>
      <c r="AU68" s="154"/>
      <c r="AV68" s="154"/>
      <c r="AW68" s="154"/>
      <c r="AX68" s="154"/>
      <c r="AY68" s="154"/>
      <c r="AZ68" s="154"/>
      <c r="BA68" s="19"/>
      <c r="BB68" s="19"/>
      <c r="BC68" s="19"/>
      <c r="BD68" s="19"/>
      <c r="BE68" s="19"/>
      <c r="BF68" s="19"/>
      <c r="BG68" s="180"/>
    </row>
    <row r="69" spans="1:59" s="153" customFormat="1" x14ac:dyDescent="0.2">
      <c r="A69" s="191"/>
      <c r="B69" s="154"/>
      <c r="C69" s="154"/>
      <c r="D69" s="154"/>
      <c r="E69" s="154"/>
      <c r="F69" s="154"/>
      <c r="G69" s="19"/>
      <c r="H69" s="19"/>
      <c r="I69" s="4"/>
      <c r="J69" s="3">
        <f>Data!E206</f>
        <v>-99</v>
      </c>
      <c r="K69" s="25">
        <f>Data!F206</f>
        <v>58</v>
      </c>
      <c r="L69" s="25">
        <f>Data!G206</f>
        <v>-99</v>
      </c>
      <c r="M69" s="25">
        <f>Data!H206</f>
        <v>-4</v>
      </c>
      <c r="N69" s="33"/>
      <c r="O69" s="25">
        <f>Data!J206</f>
        <v>-42</v>
      </c>
      <c r="P69" s="25">
        <f>Data!K206</f>
        <v>-98</v>
      </c>
      <c r="Q69" s="33"/>
      <c r="R69" s="33"/>
      <c r="S69" s="33"/>
      <c r="T69" s="33"/>
      <c r="U69" s="33"/>
      <c r="V69" s="30"/>
      <c r="W69" s="30"/>
      <c r="X69" s="30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  <c r="AN69" s="154"/>
      <c r="AO69" s="154"/>
      <c r="AP69" s="154"/>
      <c r="AQ69" s="154"/>
      <c r="AR69" s="154"/>
      <c r="AS69" s="154"/>
      <c r="AT69" s="154"/>
      <c r="AU69" s="154"/>
      <c r="AV69" s="154"/>
      <c r="AW69" s="154"/>
      <c r="AX69" s="154"/>
      <c r="AY69" s="154"/>
      <c r="AZ69" s="154"/>
      <c r="BA69" s="19"/>
      <c r="BB69" s="19"/>
      <c r="BC69" s="19"/>
      <c r="BD69" s="19"/>
      <c r="BE69" s="19"/>
      <c r="BF69" s="19"/>
      <c r="BG69" s="180"/>
    </row>
    <row r="70" spans="1:59" s="170" customFormat="1" x14ac:dyDescent="0.2">
      <c r="A70" s="190" t="s">
        <v>172</v>
      </c>
      <c r="B70" s="116"/>
      <c r="C70" s="116"/>
      <c r="D70" s="116"/>
      <c r="E70" s="116"/>
      <c r="F70" s="116"/>
      <c r="G70" s="16"/>
      <c r="H70" s="16"/>
      <c r="I70" s="16"/>
      <c r="J70" s="16"/>
      <c r="K70" s="4"/>
      <c r="L70" s="3">
        <v>-74</v>
      </c>
      <c r="M70" s="4"/>
      <c r="N70" s="3">
        <v>-36</v>
      </c>
      <c r="O70" s="4"/>
      <c r="P70" s="4"/>
      <c r="Q70" s="4"/>
      <c r="R70" s="4"/>
      <c r="S70" s="4"/>
      <c r="T70" s="4"/>
      <c r="U70" s="5">
        <v>107</v>
      </c>
      <c r="V70" s="3">
        <v>-37</v>
      </c>
      <c r="W70" s="3">
        <v>-62</v>
      </c>
      <c r="X70" s="8">
        <v>265</v>
      </c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6"/>
      <c r="BB70" s="16"/>
      <c r="BC70" s="16"/>
      <c r="BD70" s="16"/>
      <c r="BE70" s="16"/>
      <c r="BF70" s="16"/>
      <c r="BG70" s="180"/>
    </row>
    <row r="71" spans="1:59" s="170" customFormat="1" x14ac:dyDescent="0.2">
      <c r="A71" s="191"/>
      <c r="B71" s="171"/>
      <c r="C71" s="171"/>
      <c r="D71" s="171"/>
      <c r="E71" s="171"/>
      <c r="F71" s="171"/>
      <c r="G71" s="19"/>
      <c r="H71" s="19"/>
      <c r="I71" s="19"/>
      <c r="J71" s="19"/>
      <c r="K71" s="3">
        <v>-39</v>
      </c>
      <c r="L71" s="3">
        <v>0</v>
      </c>
      <c r="M71" s="3">
        <v>1</v>
      </c>
      <c r="N71" s="3">
        <v>162</v>
      </c>
      <c r="O71" s="5">
        <v>185</v>
      </c>
      <c r="P71" s="5">
        <v>107</v>
      </c>
      <c r="Q71" s="6">
        <v>410</v>
      </c>
      <c r="R71" s="5">
        <v>56</v>
      </c>
      <c r="S71" s="3">
        <v>109</v>
      </c>
      <c r="T71" s="3">
        <v>46</v>
      </c>
      <c r="U71" s="5">
        <v>123</v>
      </c>
      <c r="V71" s="3">
        <v>139</v>
      </c>
      <c r="W71" s="3">
        <v>-46</v>
      </c>
      <c r="X71" s="3">
        <v>-13</v>
      </c>
      <c r="Y71" s="171"/>
      <c r="Z71" s="171"/>
      <c r="AA71" s="171"/>
      <c r="AB71" s="171"/>
      <c r="AC71" s="171"/>
      <c r="AD71" s="171"/>
      <c r="AE71" s="171"/>
      <c r="AF71" s="171"/>
      <c r="AG71" s="171"/>
      <c r="AH71" s="171"/>
      <c r="AI71" s="171"/>
      <c r="AJ71" s="171"/>
      <c r="AK71" s="171"/>
      <c r="AL71" s="171"/>
      <c r="AM71" s="171"/>
      <c r="AN71" s="171"/>
      <c r="AO71" s="171"/>
      <c r="AP71" s="171"/>
      <c r="AQ71" s="171"/>
      <c r="AR71" s="171"/>
      <c r="AS71" s="171"/>
      <c r="AT71" s="171"/>
      <c r="AU71" s="171"/>
      <c r="AV71" s="171"/>
      <c r="AW71" s="171"/>
      <c r="AX71" s="171"/>
      <c r="AY71" s="171"/>
      <c r="AZ71" s="171"/>
      <c r="BA71" s="19"/>
      <c r="BB71" s="19"/>
      <c r="BC71" s="19"/>
      <c r="BD71" s="19"/>
      <c r="BE71" s="19"/>
      <c r="BF71" s="19"/>
      <c r="BG71" s="180"/>
    </row>
    <row r="72" spans="1:59" s="170" customFormat="1" x14ac:dyDescent="0.2">
      <c r="A72" s="191"/>
      <c r="B72" s="171"/>
      <c r="C72" s="171"/>
      <c r="D72" s="171"/>
      <c r="E72" s="171"/>
      <c r="F72" s="171"/>
      <c r="G72" s="19"/>
      <c r="H72" s="19"/>
      <c r="I72" s="19"/>
      <c r="J72" s="19"/>
      <c r="K72" s="4"/>
      <c r="L72" s="3">
        <v>-98</v>
      </c>
      <c r="M72" s="3">
        <v>-3</v>
      </c>
      <c r="N72" s="4"/>
      <c r="O72" s="3">
        <v>-99</v>
      </c>
      <c r="P72" s="4"/>
      <c r="Q72" s="4"/>
      <c r="R72" s="4"/>
      <c r="S72" s="3">
        <v>36</v>
      </c>
      <c r="T72" s="4"/>
      <c r="U72" s="3">
        <v>-20</v>
      </c>
      <c r="V72" s="4"/>
      <c r="W72" s="4"/>
      <c r="X72" s="3">
        <v>-99</v>
      </c>
      <c r="Y72" s="171"/>
      <c r="Z72" s="171"/>
      <c r="AA72" s="171"/>
      <c r="AB72" s="171"/>
      <c r="AC72" s="171"/>
      <c r="AD72" s="171"/>
      <c r="AE72" s="171"/>
      <c r="AF72" s="171"/>
      <c r="AG72" s="171"/>
      <c r="AH72" s="171"/>
      <c r="AI72" s="171"/>
      <c r="AJ72" s="171"/>
      <c r="AK72" s="171"/>
      <c r="AL72" s="171"/>
      <c r="AM72" s="171"/>
      <c r="AN72" s="171"/>
      <c r="AO72" s="171"/>
      <c r="AP72" s="171"/>
      <c r="AQ72" s="171"/>
      <c r="AR72" s="171"/>
      <c r="AS72" s="171"/>
      <c r="AT72" s="171"/>
      <c r="AU72" s="171"/>
      <c r="AV72" s="171"/>
      <c r="AW72" s="171"/>
      <c r="AX72" s="171"/>
      <c r="AY72" s="171"/>
      <c r="AZ72" s="171"/>
      <c r="BA72" s="19"/>
      <c r="BB72" s="19"/>
      <c r="BC72" s="19"/>
      <c r="BD72" s="19"/>
      <c r="BE72" s="19"/>
      <c r="BF72" s="19"/>
      <c r="BG72" s="180"/>
    </row>
    <row r="73" spans="1:59" s="170" customFormat="1" x14ac:dyDescent="0.2">
      <c r="A73" s="192"/>
      <c r="B73" s="30"/>
      <c r="C73" s="30"/>
      <c r="D73" s="30"/>
      <c r="E73" s="30"/>
      <c r="F73" s="30"/>
      <c r="G73" s="33"/>
      <c r="H73" s="33"/>
      <c r="I73" s="33"/>
      <c r="J73" s="33"/>
      <c r="K73" s="4"/>
      <c r="L73" s="3">
        <v>-62</v>
      </c>
      <c r="M73" s="3">
        <v>112</v>
      </c>
      <c r="N73" s="3">
        <v>96</v>
      </c>
      <c r="O73" s="3">
        <v>40</v>
      </c>
      <c r="P73" s="3">
        <v>91</v>
      </c>
      <c r="Q73" s="5">
        <v>42</v>
      </c>
      <c r="R73" s="4"/>
      <c r="S73" s="5">
        <v>73</v>
      </c>
      <c r="T73" s="3">
        <v>7</v>
      </c>
      <c r="U73" s="4"/>
      <c r="V73" s="3">
        <v>-98</v>
      </c>
      <c r="W73" s="5">
        <v>216</v>
      </c>
      <c r="X73" s="3">
        <v>-1</v>
      </c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3"/>
      <c r="BB73" s="33"/>
      <c r="BC73" s="33"/>
      <c r="BD73" s="33"/>
      <c r="BE73" s="33"/>
      <c r="BF73" s="19"/>
      <c r="BG73" s="180"/>
    </row>
    <row r="74" spans="1:59" s="38" customFormat="1" x14ac:dyDescent="0.2">
      <c r="A74" s="190" t="s">
        <v>69</v>
      </c>
      <c r="B74" s="116"/>
      <c r="C74" s="116"/>
      <c r="D74" s="116"/>
      <c r="E74" s="116"/>
      <c r="F74" s="1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43">
        <f>Data!J43</f>
        <v>131</v>
      </c>
      <c r="R74" s="16"/>
      <c r="S74" s="44">
        <f>Data!L43</f>
        <v>65</v>
      </c>
      <c r="T74" s="16"/>
      <c r="U74" s="16"/>
      <c r="V74" s="16"/>
      <c r="W74" s="44">
        <f>Data!P43</f>
        <v>138</v>
      </c>
      <c r="X74" s="31">
        <f>Data!Q43</f>
        <v>6</v>
      </c>
      <c r="Y74" s="16"/>
      <c r="Z74" s="44">
        <f>Data!S43</f>
        <v>228</v>
      </c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6"/>
      <c r="BB74" s="16"/>
      <c r="BC74" s="16"/>
      <c r="BD74" s="16"/>
      <c r="BE74" s="16"/>
      <c r="BF74" s="16"/>
      <c r="BG74" s="180"/>
    </row>
    <row r="75" spans="1:59" s="38" customFormat="1" x14ac:dyDescent="0.2">
      <c r="A75" s="191"/>
      <c r="B75" s="117"/>
      <c r="C75" s="117"/>
      <c r="D75" s="117"/>
      <c r="E75" s="117"/>
      <c r="F75" s="117"/>
      <c r="G75" s="19"/>
      <c r="H75" s="19"/>
      <c r="I75" s="19"/>
      <c r="J75" s="19"/>
      <c r="K75" s="20">
        <f>Data!D44</f>
        <v>-22</v>
      </c>
      <c r="L75" s="19"/>
      <c r="M75" s="19"/>
      <c r="N75" s="20">
        <f>Data!G44</f>
        <v>0</v>
      </c>
      <c r="O75" s="22">
        <f>Data!H44</f>
        <v>148</v>
      </c>
      <c r="P75" s="19"/>
      <c r="Q75" s="22">
        <f>Data!J44</f>
        <v>118</v>
      </c>
      <c r="R75" s="24">
        <f>Data!K44</f>
        <v>425</v>
      </c>
      <c r="S75" s="21">
        <f>Data!L44</f>
        <v>200</v>
      </c>
      <c r="T75" s="19"/>
      <c r="U75" s="20">
        <f>Data!N44</f>
        <v>-49</v>
      </c>
      <c r="V75" s="20">
        <f>Data!O44</f>
        <v>37</v>
      </c>
      <c r="W75" s="19"/>
      <c r="X75" s="19"/>
      <c r="Y75" s="20">
        <f>Data!R44</f>
        <v>-17</v>
      </c>
      <c r="Z75" s="20">
        <f>Data!S44</f>
        <v>-94</v>
      </c>
      <c r="AA75" s="117"/>
      <c r="AB75" s="117"/>
      <c r="AC75" s="117"/>
      <c r="AD75" s="117"/>
      <c r="AE75" s="117"/>
      <c r="AF75" s="117"/>
      <c r="AG75" s="117"/>
      <c r="AH75" s="117"/>
      <c r="AI75" s="117"/>
      <c r="AJ75" s="117"/>
      <c r="AK75" s="117"/>
      <c r="AL75" s="117"/>
      <c r="AM75" s="117"/>
      <c r="AN75" s="117"/>
      <c r="AO75" s="117"/>
      <c r="AP75" s="117"/>
      <c r="AQ75" s="117"/>
      <c r="AR75" s="117"/>
      <c r="AS75" s="117"/>
      <c r="AT75" s="117"/>
      <c r="AU75" s="117"/>
      <c r="AV75" s="117"/>
      <c r="AW75" s="117"/>
      <c r="AX75" s="117"/>
      <c r="AY75" s="117"/>
      <c r="AZ75" s="117"/>
      <c r="BA75" s="19"/>
      <c r="BB75" s="19"/>
      <c r="BC75" s="19"/>
      <c r="BD75" s="19"/>
      <c r="BE75" s="19"/>
      <c r="BF75" s="19"/>
      <c r="BG75" s="180"/>
    </row>
    <row r="76" spans="1:59" s="38" customFormat="1" x14ac:dyDescent="0.2">
      <c r="A76" s="191"/>
      <c r="B76" s="117"/>
      <c r="C76" s="117"/>
      <c r="D76" s="117"/>
      <c r="E76" s="117"/>
      <c r="F76" s="117"/>
      <c r="G76" s="19"/>
      <c r="H76" s="19"/>
      <c r="I76" s="19"/>
      <c r="J76" s="19"/>
      <c r="K76" s="21">
        <f>Data!D45</f>
        <v>252</v>
      </c>
      <c r="L76" s="20">
        <f>Data!E45</f>
        <v>-99</v>
      </c>
      <c r="M76" s="20">
        <f>Data!F45</f>
        <v>131</v>
      </c>
      <c r="N76" s="24">
        <f>Data!G45</f>
        <v>276</v>
      </c>
      <c r="O76" s="23">
        <f>Data!H45</f>
        <v>540</v>
      </c>
      <c r="P76" s="24">
        <f>Data!I45</f>
        <v>350</v>
      </c>
      <c r="Q76" s="23">
        <f>Data!J45</f>
        <v>359</v>
      </c>
      <c r="R76" s="23">
        <f>Data!K45</f>
        <v>454</v>
      </c>
      <c r="S76" s="22">
        <f>Data!L45</f>
        <v>6</v>
      </c>
      <c r="T76" s="19"/>
      <c r="U76" s="19"/>
      <c r="V76" s="20">
        <f>Data!O45</f>
        <v>-37</v>
      </c>
      <c r="W76" s="21">
        <f>Data!P45</f>
        <v>271</v>
      </c>
      <c r="X76" s="20">
        <f>Data!Q45</f>
        <v>-99</v>
      </c>
      <c r="Y76" s="20">
        <f>Data!R45</f>
        <v>37</v>
      </c>
      <c r="Z76" s="21">
        <f>Data!S45</f>
        <v>209</v>
      </c>
      <c r="AA76" s="117"/>
      <c r="AB76" s="117"/>
      <c r="AC76" s="117"/>
      <c r="AD76" s="117"/>
      <c r="AE76" s="117"/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  <c r="AU76" s="117"/>
      <c r="AV76" s="117"/>
      <c r="AW76" s="117"/>
      <c r="AX76" s="117"/>
      <c r="AY76" s="117"/>
      <c r="AZ76" s="117"/>
      <c r="BA76" s="19"/>
      <c r="BB76" s="19"/>
      <c r="BC76" s="19"/>
      <c r="BD76" s="19"/>
      <c r="BE76" s="19"/>
      <c r="BF76" s="19"/>
      <c r="BG76" s="180"/>
    </row>
    <row r="77" spans="1:59" s="38" customFormat="1" x14ac:dyDescent="0.2">
      <c r="A77" s="192"/>
      <c r="B77" s="30"/>
      <c r="C77" s="30"/>
      <c r="D77" s="30"/>
      <c r="E77" s="30"/>
      <c r="F77" s="30"/>
      <c r="G77" s="33"/>
      <c r="H77" s="33"/>
      <c r="I77" s="33"/>
      <c r="J77" s="33"/>
      <c r="K77" s="25">
        <f>Data!D46</f>
        <v>139</v>
      </c>
      <c r="L77" s="29">
        <f>Data!E46</f>
        <v>258</v>
      </c>
      <c r="M77" s="27">
        <f>Data!F46</f>
        <v>480</v>
      </c>
      <c r="N77" s="27">
        <f>Data!G46</f>
        <v>439</v>
      </c>
      <c r="O77" s="27">
        <f>Data!H46</f>
        <v>434</v>
      </c>
      <c r="P77" s="29">
        <f>Data!I46</f>
        <v>228</v>
      </c>
      <c r="Q77" s="25">
        <f>Data!J46</f>
        <v>16</v>
      </c>
      <c r="R77" s="27">
        <f>Data!K46</f>
        <v>424</v>
      </c>
      <c r="S77" s="28">
        <f>Data!L46</f>
        <v>337</v>
      </c>
      <c r="T77" s="25">
        <f>Data!M46</f>
        <v>-20</v>
      </c>
      <c r="U77" s="26">
        <f>Data!N46</f>
        <v>207</v>
      </c>
      <c r="V77" s="25">
        <f>Data!O46</f>
        <v>-35</v>
      </c>
      <c r="W77" s="25">
        <f>Data!P46</f>
        <v>-98</v>
      </c>
      <c r="X77" s="29">
        <f>Data!Q46</f>
        <v>295</v>
      </c>
      <c r="Y77" s="25">
        <f>Data!R46</f>
        <v>-20</v>
      </c>
      <c r="Z77" s="25">
        <f>Data!S46</f>
        <v>29</v>
      </c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3"/>
      <c r="BB77" s="33"/>
      <c r="BC77" s="33"/>
      <c r="BD77" s="33"/>
      <c r="BE77" s="33"/>
      <c r="BF77" s="19"/>
      <c r="BG77" s="180"/>
    </row>
    <row r="78" spans="1:59" x14ac:dyDescent="0.2">
      <c r="A78" s="190" t="s">
        <v>56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31">
        <f>Data!F33</f>
        <v>42</v>
      </c>
      <c r="O78" s="16"/>
      <c r="P78" s="16"/>
      <c r="Q78" s="18">
        <f>Data!I33</f>
        <v>341</v>
      </c>
      <c r="R78" s="31">
        <f>Data!J33</f>
        <v>126</v>
      </c>
      <c r="S78" s="43">
        <f>Data!K33</f>
        <v>133</v>
      </c>
      <c r="T78" s="16"/>
      <c r="U78" s="43">
        <f>Data!M33</f>
        <v>141</v>
      </c>
      <c r="V78" s="43">
        <f>Data!N33</f>
        <v>151</v>
      </c>
      <c r="W78" s="17">
        <f>Data!O33</f>
        <v>444</v>
      </c>
      <c r="X78" s="17">
        <f>Data!P33</f>
        <v>365</v>
      </c>
      <c r="Y78" s="18">
        <f>Data!Q33</f>
        <v>371</v>
      </c>
      <c r="Z78" s="44">
        <f>Data!R33</f>
        <v>134</v>
      </c>
      <c r="AA78" s="31">
        <f>Data!S33</f>
        <v>-62</v>
      </c>
      <c r="AB78" s="31">
        <f>Data!T33</f>
        <v>179</v>
      </c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6"/>
      <c r="BA78" s="16"/>
      <c r="BB78" s="16"/>
      <c r="BC78" s="16"/>
      <c r="BD78" s="16"/>
      <c r="BE78" s="16"/>
      <c r="BF78" s="16"/>
      <c r="BG78" s="180"/>
    </row>
    <row r="79" spans="1:59" x14ac:dyDescent="0.2">
      <c r="A79" s="191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20">
        <f>Data!D34</f>
        <v>-99</v>
      </c>
      <c r="M79" s="20">
        <f>Data!E34</f>
        <v>125</v>
      </c>
      <c r="N79" s="20">
        <f>Data!F34</f>
        <v>23</v>
      </c>
      <c r="O79" s="24">
        <f>Data!G34</f>
        <v>419</v>
      </c>
      <c r="P79" s="20">
        <f>Data!H34</f>
        <v>38</v>
      </c>
      <c r="Q79" s="22">
        <f>Data!I34</f>
        <v>138</v>
      </c>
      <c r="R79" s="23">
        <f>Data!J34</f>
        <v>514</v>
      </c>
      <c r="S79" s="24">
        <f>Data!K34</f>
        <v>334</v>
      </c>
      <c r="T79" s="23">
        <f>Data!L34</f>
        <v>398</v>
      </c>
      <c r="U79" s="23">
        <f>Data!M34</f>
        <v>543</v>
      </c>
      <c r="V79" s="22">
        <f>Data!N34</f>
        <v>117</v>
      </c>
      <c r="W79" s="20">
        <f>Data!O34</f>
        <v>166</v>
      </c>
      <c r="X79" s="19"/>
      <c r="Y79" s="19"/>
      <c r="Z79" s="20">
        <f>Data!R34</f>
        <v>7</v>
      </c>
      <c r="AA79" s="20">
        <f>Data!S34</f>
        <v>-99</v>
      </c>
      <c r="AB79" s="20">
        <f>Data!T34</f>
        <v>-17</v>
      </c>
      <c r="AC79" s="117"/>
      <c r="AD79" s="117"/>
      <c r="AE79" s="117"/>
      <c r="AF79" s="117"/>
      <c r="AG79" s="117"/>
      <c r="AH79" s="117"/>
      <c r="AI79" s="117"/>
      <c r="AJ79" s="117"/>
      <c r="AK79" s="117"/>
      <c r="AL79" s="117"/>
      <c r="AM79" s="117"/>
      <c r="AN79" s="117"/>
      <c r="AO79" s="117"/>
      <c r="AP79" s="117"/>
      <c r="AQ79" s="117"/>
      <c r="AR79" s="117"/>
      <c r="AS79" s="117"/>
      <c r="AT79" s="117"/>
      <c r="AU79" s="117"/>
      <c r="AV79" s="117"/>
      <c r="AW79" s="117"/>
      <c r="AX79" s="117"/>
      <c r="AY79" s="117"/>
      <c r="AZ79" s="117"/>
      <c r="BA79" s="19"/>
      <c r="BB79" s="19"/>
      <c r="BC79" s="19"/>
      <c r="BD79" s="19"/>
      <c r="BE79" s="19"/>
      <c r="BG79" s="180"/>
    </row>
    <row r="80" spans="1:59" x14ac:dyDescent="0.2">
      <c r="A80" s="191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20">
        <f>Data!E35</f>
        <v>-46</v>
      </c>
      <c r="N80" s="20">
        <f>Data!F35</f>
        <v>44</v>
      </c>
      <c r="O80" s="20">
        <f>Data!G35</f>
        <v>-99</v>
      </c>
      <c r="P80" s="19"/>
      <c r="Q80" s="21">
        <f>Data!I35</f>
        <v>105</v>
      </c>
      <c r="R80" s="21">
        <f>Data!J35</f>
        <v>199</v>
      </c>
      <c r="S80" s="20">
        <f>Data!K35</f>
        <v>69</v>
      </c>
      <c r="T80" s="24">
        <f>Data!L35</f>
        <v>315</v>
      </c>
      <c r="U80" s="24">
        <f>Data!M35</f>
        <v>327</v>
      </c>
      <c r="V80" s="21">
        <f>Data!N35</f>
        <v>261</v>
      </c>
      <c r="W80" s="21">
        <f>Data!O35</f>
        <v>110</v>
      </c>
      <c r="X80" s="21">
        <f>Data!P35</f>
        <v>122</v>
      </c>
      <c r="Y80" s="20">
        <f>Data!Q35</f>
        <v>13</v>
      </c>
      <c r="Z80" s="20">
        <f>Data!R35</f>
        <v>0</v>
      </c>
      <c r="AA80" s="20">
        <f>Data!S35</f>
        <v>-23</v>
      </c>
      <c r="AB80" s="19"/>
      <c r="AC80" s="117"/>
      <c r="AD80" s="117"/>
      <c r="AE80" s="117"/>
      <c r="AF80" s="117"/>
      <c r="AG80" s="117"/>
      <c r="AH80" s="117"/>
      <c r="AI80" s="117"/>
      <c r="AJ80" s="117"/>
      <c r="AK80" s="117"/>
      <c r="AL80" s="117"/>
      <c r="AM80" s="117"/>
      <c r="AN80" s="117"/>
      <c r="AO80" s="117"/>
      <c r="AP80" s="117"/>
      <c r="AQ80" s="117"/>
      <c r="AR80" s="117"/>
      <c r="AS80" s="117"/>
      <c r="AT80" s="117"/>
      <c r="AU80" s="117"/>
      <c r="AV80" s="117"/>
      <c r="AW80" s="117"/>
      <c r="AX80" s="117"/>
      <c r="AY80" s="117"/>
      <c r="AZ80" s="117"/>
      <c r="BA80" s="19"/>
      <c r="BB80" s="19"/>
      <c r="BC80" s="19"/>
      <c r="BD80" s="19"/>
      <c r="BE80" s="19"/>
      <c r="BG80" s="180"/>
    </row>
    <row r="81" spans="1:59" x14ac:dyDescent="0.2">
      <c r="A81" s="19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25">
        <f>Data!E36</f>
        <v>52</v>
      </c>
      <c r="N81" s="26">
        <f>Data!F36</f>
        <v>104</v>
      </c>
      <c r="O81" s="25">
        <f>Data!G36</f>
        <v>13</v>
      </c>
      <c r="P81" s="28">
        <f>Data!H36</f>
        <v>384</v>
      </c>
      <c r="Q81" s="28">
        <f>Data!I36</f>
        <v>397</v>
      </c>
      <c r="R81" s="28">
        <f>Data!J36</f>
        <v>378</v>
      </c>
      <c r="S81" s="27">
        <f>Data!K36</f>
        <v>401</v>
      </c>
      <c r="T81" s="27">
        <f>Data!L36</f>
        <v>536</v>
      </c>
      <c r="U81" s="27">
        <f>Data!M36</f>
        <v>473</v>
      </c>
      <c r="V81" s="28">
        <f>Data!N36</f>
        <v>389</v>
      </c>
      <c r="W81" s="28">
        <f>Data!O36</f>
        <v>432</v>
      </c>
      <c r="X81" s="26">
        <f>Data!P36</f>
        <v>88</v>
      </c>
      <c r="Y81" s="29">
        <f>Data!Q36</f>
        <v>336</v>
      </c>
      <c r="Z81" s="26">
        <f>Data!R36</f>
        <v>210</v>
      </c>
      <c r="AA81" s="25">
        <f>Data!S36</f>
        <v>-99</v>
      </c>
      <c r="AB81" s="25">
        <f>Data!T36</f>
        <v>-40</v>
      </c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3"/>
      <c r="BB81" s="33"/>
      <c r="BC81" s="33"/>
      <c r="BD81" s="33"/>
      <c r="BE81" s="33"/>
      <c r="BG81" s="180"/>
    </row>
    <row r="82" spans="1:59" s="120" customFormat="1" x14ac:dyDescent="0.2">
      <c r="A82" s="190" t="s">
        <v>120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4"/>
      <c r="M82" s="4"/>
      <c r="N82" s="4"/>
      <c r="O82" s="6">
        <f>Data!G153</f>
        <v>465</v>
      </c>
      <c r="P82" s="6">
        <f>Data!H153</f>
        <v>236</v>
      </c>
      <c r="Q82" s="5">
        <f>Data!I153</f>
        <v>10</v>
      </c>
      <c r="R82" s="8">
        <f>Data!J153</f>
        <v>157</v>
      </c>
      <c r="S82" s="5">
        <f>Data!K153</f>
        <v>26</v>
      </c>
      <c r="T82" s="4"/>
      <c r="U82" s="3">
        <f>Data!M153</f>
        <v>-99</v>
      </c>
      <c r="V82" s="3">
        <f>Data!N153</f>
        <v>-53</v>
      </c>
      <c r="W82" s="3">
        <f>Data!O153</f>
        <v>-2</v>
      </c>
      <c r="X82" s="4"/>
      <c r="Y82" s="4"/>
      <c r="Z82" s="19"/>
      <c r="AA82" s="19"/>
      <c r="AB82" s="19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9"/>
      <c r="BB82" s="19"/>
      <c r="BC82" s="19"/>
      <c r="BD82" s="16"/>
      <c r="BE82" s="16"/>
      <c r="BF82" s="16"/>
      <c r="BG82" s="180"/>
    </row>
    <row r="83" spans="1:59" s="120" customFormat="1" x14ac:dyDescent="0.2">
      <c r="A83" s="191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4"/>
      <c r="M83" s="3">
        <f>Data!E154</f>
        <v>-99</v>
      </c>
      <c r="N83" s="4"/>
      <c r="O83" s="4"/>
      <c r="P83" s="4"/>
      <c r="Q83" s="4"/>
      <c r="R83" s="19"/>
      <c r="S83" s="19"/>
      <c r="T83" s="8">
        <f>Data!L154</f>
        <v>182</v>
      </c>
      <c r="U83" s="3">
        <f>Data!M154</f>
        <v>-18</v>
      </c>
      <c r="V83" s="4"/>
      <c r="W83" s="4"/>
      <c r="X83" s="4"/>
      <c r="Y83" s="4"/>
      <c r="Z83" s="19"/>
      <c r="AA83" s="19"/>
      <c r="AB83" s="19"/>
      <c r="AC83" s="121"/>
      <c r="AD83" s="121"/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9"/>
      <c r="BB83" s="19"/>
      <c r="BC83" s="19"/>
      <c r="BD83" s="19"/>
      <c r="BE83" s="19"/>
      <c r="BF83" s="19"/>
      <c r="BG83" s="180"/>
    </row>
    <row r="84" spans="1:59" s="120" customFormat="1" x14ac:dyDescent="0.2">
      <c r="A84" s="191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3">
        <f>Data!D155</f>
        <v>-12</v>
      </c>
      <c r="M84" s="3">
        <f>Data!E155</f>
        <v>61</v>
      </c>
      <c r="N84" s="3">
        <f>Data!F155</f>
        <v>-1</v>
      </c>
      <c r="O84" s="5">
        <f>Data!G155</f>
        <v>64</v>
      </c>
      <c r="P84" s="5">
        <f>Data!H155</f>
        <v>58</v>
      </c>
      <c r="Q84" s="3">
        <f>Data!I155</f>
        <v>51</v>
      </c>
      <c r="R84" s="3">
        <f>Data!J155</f>
        <v>8</v>
      </c>
      <c r="S84" s="3">
        <f>Data!K155</f>
        <v>31</v>
      </c>
      <c r="T84" s="3">
        <f>Data!L155</f>
        <v>-65</v>
      </c>
      <c r="U84" s="3">
        <f>Data!M155</f>
        <v>160</v>
      </c>
      <c r="V84" s="3">
        <f>Data!N155</f>
        <v>-54</v>
      </c>
      <c r="W84" s="3">
        <f>Data!O155</f>
        <v>-99</v>
      </c>
      <c r="X84" s="4"/>
      <c r="Y84" s="3">
        <f>Data!Q155</f>
        <v>-66</v>
      </c>
      <c r="Z84" s="19"/>
      <c r="AA84" s="19"/>
      <c r="AB84" s="19"/>
      <c r="AC84" s="121"/>
      <c r="AD84" s="121"/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9"/>
      <c r="BB84" s="19"/>
      <c r="BC84" s="19"/>
      <c r="BD84" s="19"/>
      <c r="BE84" s="19"/>
      <c r="BF84" s="19"/>
      <c r="BG84" s="180"/>
    </row>
    <row r="85" spans="1:59" s="120" customFormat="1" x14ac:dyDescent="0.2">
      <c r="A85" s="191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5">
        <f>Data!D156</f>
        <v>58</v>
      </c>
      <c r="M85" s="5">
        <f>Data!E156</f>
        <v>161</v>
      </c>
      <c r="N85" s="8">
        <f>Data!F156</f>
        <v>301</v>
      </c>
      <c r="O85" s="3">
        <f>Data!G156</f>
        <v>-97</v>
      </c>
      <c r="P85" s="3">
        <f>Data!H156</f>
        <v>-66</v>
      </c>
      <c r="Q85" s="3">
        <f>Data!I156</f>
        <v>53</v>
      </c>
      <c r="R85" s="3">
        <f>Data!J156</f>
        <v>19</v>
      </c>
      <c r="S85" s="3">
        <f>Data!K156</f>
        <v>24</v>
      </c>
      <c r="T85" s="3">
        <f>Data!L156</f>
        <v>4</v>
      </c>
      <c r="U85" s="3">
        <f>Data!M156</f>
        <v>-40</v>
      </c>
      <c r="V85" s="3">
        <f>Data!N156</f>
        <v>70</v>
      </c>
      <c r="W85" s="3">
        <f>Data!O156</f>
        <v>-99</v>
      </c>
      <c r="X85" s="4"/>
      <c r="Y85" s="4"/>
      <c r="Z85" s="19"/>
      <c r="AA85" s="19"/>
      <c r="AB85" s="19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9"/>
      <c r="BB85" s="19"/>
      <c r="BC85" s="19"/>
      <c r="BD85" s="19"/>
      <c r="BE85" s="19"/>
      <c r="BF85" s="19"/>
      <c r="BG85" s="180"/>
    </row>
    <row r="86" spans="1:59" s="173" customFormat="1" x14ac:dyDescent="0.2">
      <c r="A86" s="190" t="s">
        <v>174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31">
        <v>-20</v>
      </c>
      <c r="Y86" s="16"/>
      <c r="Z86" s="31">
        <v>-99</v>
      </c>
      <c r="AA86" s="16"/>
      <c r="AB86" s="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  <c r="AY86" s="116"/>
      <c r="AZ86" s="116"/>
      <c r="BA86" s="16"/>
      <c r="BB86" s="16"/>
      <c r="BC86" s="16"/>
      <c r="BD86" s="16"/>
      <c r="BE86" s="16"/>
      <c r="BF86" s="16"/>
      <c r="BG86" s="180"/>
    </row>
    <row r="87" spans="1:59" s="173" customFormat="1" x14ac:dyDescent="0.2">
      <c r="A87" s="191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20">
        <v>15</v>
      </c>
      <c r="O87" s="20">
        <v>-4</v>
      </c>
      <c r="P87" s="20">
        <v>25</v>
      </c>
      <c r="Q87" s="20">
        <v>62</v>
      </c>
      <c r="R87" s="22">
        <v>74</v>
      </c>
      <c r="S87" s="20">
        <v>-3</v>
      </c>
      <c r="T87" s="22">
        <v>131</v>
      </c>
      <c r="U87" s="22">
        <v>185</v>
      </c>
      <c r="V87" s="20">
        <v>-29</v>
      </c>
      <c r="W87" s="20">
        <v>-7</v>
      </c>
      <c r="X87" s="23">
        <v>288</v>
      </c>
      <c r="Y87" s="19"/>
      <c r="Z87" s="20">
        <v>-56</v>
      </c>
      <c r="AA87" s="19"/>
      <c r="AB87" s="19"/>
      <c r="AC87" s="174"/>
      <c r="AD87" s="174"/>
      <c r="AE87" s="174"/>
      <c r="AF87" s="174"/>
      <c r="AG87" s="174"/>
      <c r="AH87" s="174"/>
      <c r="AI87" s="174"/>
      <c r="AJ87" s="174"/>
      <c r="AK87" s="174"/>
      <c r="AL87" s="174"/>
      <c r="AM87" s="174"/>
      <c r="AN87" s="174"/>
      <c r="AO87" s="174"/>
      <c r="AP87" s="174"/>
      <c r="AQ87" s="174"/>
      <c r="AR87" s="174"/>
      <c r="AS87" s="174"/>
      <c r="AT87" s="174"/>
      <c r="AU87" s="174"/>
      <c r="AV87" s="174"/>
      <c r="AW87" s="174"/>
      <c r="AX87" s="174"/>
      <c r="AY87" s="174"/>
      <c r="AZ87" s="174"/>
      <c r="BA87" s="19"/>
      <c r="BB87" s="19"/>
      <c r="BC87" s="19"/>
      <c r="BD87" s="19"/>
      <c r="BE87" s="19"/>
      <c r="BF87" s="19"/>
      <c r="BG87" s="180"/>
    </row>
    <row r="88" spans="1:59" s="173" customFormat="1" x14ac:dyDescent="0.2">
      <c r="A88" s="191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20">
        <v>-99</v>
      </c>
      <c r="O88" s="19"/>
      <c r="P88" s="20">
        <v>-42</v>
      </c>
      <c r="Q88" s="19"/>
      <c r="R88" s="22">
        <v>-11</v>
      </c>
      <c r="S88" s="19"/>
      <c r="T88" s="20">
        <v>-85</v>
      </c>
      <c r="U88" s="20">
        <v>130</v>
      </c>
      <c r="V88" s="19"/>
      <c r="W88" s="20">
        <v>-61</v>
      </c>
      <c r="X88" s="20">
        <v>-49</v>
      </c>
      <c r="Y88" s="19"/>
      <c r="Z88" s="19"/>
      <c r="AA88" s="19"/>
      <c r="AB88" s="19"/>
      <c r="AC88" s="174"/>
      <c r="AD88" s="174"/>
      <c r="AE88" s="174"/>
      <c r="AF88" s="174"/>
      <c r="AG88" s="174"/>
      <c r="AH88" s="174"/>
      <c r="AI88" s="174"/>
      <c r="AJ88" s="174"/>
      <c r="AK88" s="174"/>
      <c r="AL88" s="174"/>
      <c r="AM88" s="174"/>
      <c r="AN88" s="174"/>
      <c r="AO88" s="174"/>
      <c r="AP88" s="174"/>
      <c r="AQ88" s="174"/>
      <c r="AR88" s="174"/>
      <c r="AS88" s="174"/>
      <c r="AT88" s="174"/>
      <c r="AU88" s="174"/>
      <c r="AV88" s="174"/>
      <c r="AW88" s="174"/>
      <c r="AX88" s="174"/>
      <c r="AY88" s="174"/>
      <c r="AZ88" s="174"/>
      <c r="BA88" s="19"/>
      <c r="BB88" s="19"/>
      <c r="BC88" s="19"/>
      <c r="BD88" s="19"/>
      <c r="BE88" s="19"/>
      <c r="BF88" s="19"/>
      <c r="BG88" s="180"/>
    </row>
    <row r="89" spans="1:59" s="173" customFormat="1" x14ac:dyDescent="0.2">
      <c r="A89" s="192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25">
        <v>-7</v>
      </c>
      <c r="N89" s="25">
        <v>-16</v>
      </c>
      <c r="O89" s="25">
        <v>49</v>
      </c>
      <c r="P89" s="33"/>
      <c r="Q89" s="25">
        <v>84</v>
      </c>
      <c r="R89" s="26">
        <v>189</v>
      </c>
      <c r="S89" s="33"/>
      <c r="T89" s="25">
        <v>-48</v>
      </c>
      <c r="U89" s="25">
        <v>120</v>
      </c>
      <c r="V89" s="25">
        <v>-18</v>
      </c>
      <c r="W89" s="25">
        <v>-11</v>
      </c>
      <c r="X89" s="25">
        <v>-66</v>
      </c>
      <c r="Y89" s="25">
        <v>-53</v>
      </c>
      <c r="Z89" s="33"/>
      <c r="AA89" s="33"/>
      <c r="AB89" s="33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3"/>
      <c r="BB89" s="33"/>
      <c r="BC89" s="33"/>
      <c r="BD89" s="33"/>
      <c r="BE89" s="33"/>
      <c r="BF89" s="19"/>
      <c r="BG89" s="180"/>
    </row>
    <row r="90" spans="1:59" s="40" customFormat="1" x14ac:dyDescent="0.2">
      <c r="A90" s="190" t="s">
        <v>81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31">
        <f>Data!D48</f>
        <v>-99</v>
      </c>
      <c r="P90" s="16"/>
      <c r="Q90" s="17">
        <f>Data!F48</f>
        <v>504</v>
      </c>
      <c r="R90" s="17">
        <f>Data!G48</f>
        <v>336</v>
      </c>
      <c r="S90" s="18">
        <f>Data!H48</f>
        <v>243</v>
      </c>
      <c r="T90" s="16"/>
      <c r="U90" s="16"/>
      <c r="V90" s="17">
        <f>Data!K48</f>
        <v>420</v>
      </c>
      <c r="W90" s="31">
        <f>Data!L48</f>
        <v>-50</v>
      </c>
      <c r="X90" s="43">
        <f>Data!M48</f>
        <v>193</v>
      </c>
      <c r="Y90" s="31">
        <f>Data!N48</f>
        <v>9</v>
      </c>
      <c r="Z90" s="16"/>
      <c r="AA90" s="16"/>
      <c r="AB90" s="31">
        <f>Data!Q48</f>
        <v>-23</v>
      </c>
      <c r="AC90" s="31">
        <f>Data!R48</f>
        <v>-24</v>
      </c>
      <c r="AD90" s="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  <c r="BA90" s="16"/>
      <c r="BB90" s="16"/>
      <c r="BC90" s="16"/>
      <c r="BD90" s="16"/>
      <c r="BE90" s="16"/>
      <c r="BF90" s="16"/>
      <c r="BG90" s="180"/>
    </row>
    <row r="91" spans="1:59" s="40" customFormat="1" x14ac:dyDescent="0.2">
      <c r="A91" s="191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23">
        <f>Data!E49</f>
        <v>508</v>
      </c>
      <c r="Q91" s="24">
        <f>Data!F49</f>
        <v>355</v>
      </c>
      <c r="R91" s="21">
        <f>Data!G49</f>
        <v>269</v>
      </c>
      <c r="S91" s="23">
        <f>Data!H49</f>
        <v>496</v>
      </c>
      <c r="T91" s="20">
        <f>Data!I49</f>
        <v>20</v>
      </c>
      <c r="U91" s="24">
        <f>Data!J49</f>
        <v>404</v>
      </c>
      <c r="V91" s="23">
        <f>Data!K49</f>
        <v>465</v>
      </c>
      <c r="W91" s="22">
        <f>Data!L49</f>
        <v>53</v>
      </c>
      <c r="X91" s="19"/>
      <c r="Y91" s="20">
        <f>Data!N49</f>
        <v>-49</v>
      </c>
      <c r="Z91" s="19"/>
      <c r="AA91" s="19"/>
      <c r="AB91" s="20">
        <f>Data!Q49</f>
        <v>-19</v>
      </c>
      <c r="AC91" s="20">
        <f>Data!R49</f>
        <v>-5</v>
      </c>
      <c r="AD91" s="20">
        <f>Data!S49</f>
        <v>-15</v>
      </c>
      <c r="AE91" s="117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  <c r="AP91" s="117"/>
      <c r="AQ91" s="117"/>
      <c r="AR91" s="117"/>
      <c r="AS91" s="117"/>
      <c r="AT91" s="117"/>
      <c r="AU91" s="117"/>
      <c r="AV91" s="117"/>
      <c r="AW91" s="117"/>
      <c r="AX91" s="117"/>
      <c r="AY91" s="117"/>
      <c r="AZ91" s="117"/>
      <c r="BA91" s="19"/>
      <c r="BB91" s="19"/>
      <c r="BC91" s="19"/>
      <c r="BD91" s="19"/>
      <c r="BE91" s="19"/>
      <c r="BF91" s="19"/>
      <c r="BG91" s="180"/>
    </row>
    <row r="92" spans="1:59" s="40" customFormat="1" x14ac:dyDescent="0.2">
      <c r="A92" s="191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20">
        <f>Data!D50</f>
        <v>1</v>
      </c>
      <c r="P92" s="20">
        <f>Data!E50</f>
        <v>111</v>
      </c>
      <c r="Q92" s="20">
        <f>Data!F50</f>
        <v>6</v>
      </c>
      <c r="R92" s="20">
        <f>Data!G50</f>
        <v>-32</v>
      </c>
      <c r="S92" s="20">
        <f>Data!H50</f>
        <v>-77</v>
      </c>
      <c r="T92" s="20">
        <f>Data!I50</f>
        <v>-46</v>
      </c>
      <c r="U92" s="22">
        <f>Data!J50</f>
        <v>220</v>
      </c>
      <c r="V92" s="22">
        <f>Data!K50</f>
        <v>121</v>
      </c>
      <c r="W92" s="22">
        <f>Data!L50</f>
        <v>127</v>
      </c>
      <c r="X92" s="19"/>
      <c r="Y92" s="19"/>
      <c r="Z92" s="19"/>
      <c r="AA92" s="19"/>
      <c r="AB92" s="19"/>
      <c r="AC92" s="20">
        <f>Data!R50</f>
        <v>5</v>
      </c>
      <c r="AD92" s="19"/>
      <c r="AE92" s="117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  <c r="AP92" s="117"/>
      <c r="AQ92" s="117"/>
      <c r="AR92" s="117"/>
      <c r="AS92" s="117"/>
      <c r="AT92" s="117"/>
      <c r="AU92" s="117"/>
      <c r="AV92" s="117"/>
      <c r="AW92" s="117"/>
      <c r="AX92" s="117"/>
      <c r="AY92" s="117"/>
      <c r="AZ92" s="117"/>
      <c r="BA92" s="19"/>
      <c r="BB92" s="19"/>
      <c r="BC92" s="19"/>
      <c r="BD92" s="19"/>
      <c r="BE92" s="19"/>
      <c r="BF92" s="19"/>
      <c r="BG92" s="180"/>
    </row>
    <row r="93" spans="1:59" s="40" customFormat="1" x14ac:dyDescent="0.2">
      <c r="A93" s="192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25">
        <f>Data!E51</f>
        <v>115</v>
      </c>
      <c r="Q93" s="26">
        <f>Data!F51</f>
        <v>179</v>
      </c>
      <c r="R93" s="26">
        <f>Data!G51</f>
        <v>154</v>
      </c>
      <c r="S93" s="29">
        <f>Data!H51</f>
        <v>304</v>
      </c>
      <c r="T93" s="25">
        <f>Data!I51</f>
        <v>73</v>
      </c>
      <c r="U93" s="28">
        <f>Data!J51</f>
        <v>226</v>
      </c>
      <c r="V93" s="27">
        <f>Data!K51</f>
        <v>504</v>
      </c>
      <c r="W93" s="25">
        <f>Data!L51</f>
        <v>-20</v>
      </c>
      <c r="X93" s="25">
        <f>Data!M51</f>
        <v>-8</v>
      </c>
      <c r="Y93" s="33"/>
      <c r="Z93" s="33"/>
      <c r="AA93" s="25">
        <f>Data!P51</f>
        <v>78</v>
      </c>
      <c r="AB93" s="25">
        <f>Data!Q51</f>
        <v>-99</v>
      </c>
      <c r="AC93" s="25">
        <f>Data!R51</f>
        <v>-14</v>
      </c>
      <c r="AD93" s="33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3"/>
      <c r="BB93" s="33"/>
      <c r="BC93" s="33"/>
      <c r="BD93" s="33"/>
      <c r="BE93" s="33"/>
      <c r="BF93" s="19"/>
      <c r="BG93" s="180"/>
    </row>
    <row r="94" spans="1:59" s="173" customFormat="1" x14ac:dyDescent="0.2">
      <c r="A94" s="190" t="s">
        <v>173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3">
        <v>-6</v>
      </c>
      <c r="P94" s="5">
        <v>106</v>
      </c>
      <c r="Q94" s="3">
        <v>90</v>
      </c>
      <c r="R94" s="5">
        <v>103</v>
      </c>
      <c r="S94" s="4"/>
      <c r="T94" s="4"/>
      <c r="U94" s="7">
        <v>306</v>
      </c>
      <c r="V94" s="7">
        <v>300</v>
      </c>
      <c r="W94" s="3">
        <v>-1</v>
      </c>
      <c r="X94" s="4"/>
      <c r="Y94" s="3">
        <v>108</v>
      </c>
      <c r="Z94" s="3">
        <v>53</v>
      </c>
      <c r="AB94" s="4"/>
      <c r="AC94" s="3">
        <v>-96</v>
      </c>
      <c r="AD94" s="4"/>
      <c r="AE94" s="3">
        <v>-99</v>
      </c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9"/>
      <c r="BB94" s="19"/>
      <c r="BC94" s="19"/>
      <c r="BD94" s="19"/>
      <c r="BE94" s="19"/>
      <c r="BF94" s="16"/>
      <c r="BG94" s="180"/>
    </row>
    <row r="95" spans="1:59" s="173" customFormat="1" x14ac:dyDescent="0.2">
      <c r="A95" s="191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4"/>
      <c r="P95" s="4"/>
      <c r="Q95" s="3">
        <v>-11</v>
      </c>
      <c r="R95" s="3">
        <v>-89</v>
      </c>
      <c r="S95" s="4"/>
      <c r="T95" s="4"/>
      <c r="U95" s="3">
        <v>-96</v>
      </c>
      <c r="V95" s="3">
        <v>30</v>
      </c>
      <c r="W95" s="4"/>
      <c r="X95" s="4"/>
      <c r="Y95" s="3">
        <v>-16</v>
      </c>
      <c r="Z95" s="4"/>
      <c r="AA95" s="4"/>
      <c r="AB95" s="4"/>
      <c r="AC95" s="4"/>
      <c r="AD95" s="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9"/>
      <c r="BB95" s="19"/>
      <c r="BC95" s="19"/>
      <c r="BD95" s="19"/>
      <c r="BE95" s="19"/>
      <c r="BF95" s="19"/>
      <c r="BG95" s="180"/>
    </row>
    <row r="96" spans="1:59" s="173" customFormat="1" x14ac:dyDescent="0.2">
      <c r="A96" s="191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4"/>
      <c r="P96" s="4"/>
      <c r="Q96" s="3">
        <v>49</v>
      </c>
      <c r="R96" s="8">
        <v>338</v>
      </c>
      <c r="S96" s="3">
        <v>-98</v>
      </c>
      <c r="T96" s="5">
        <v>188</v>
      </c>
      <c r="U96" s="6">
        <v>441</v>
      </c>
      <c r="V96" s="5">
        <v>83</v>
      </c>
      <c r="X96" s="3">
        <v>84</v>
      </c>
      <c r="Y96" s="3">
        <v>-89</v>
      </c>
      <c r="Z96" s="3">
        <v>0</v>
      </c>
      <c r="AA96" s="4"/>
      <c r="AB96" s="4"/>
      <c r="AC96" s="3">
        <v>-99</v>
      </c>
      <c r="AD96" s="4"/>
      <c r="AE96" s="3">
        <v>-65</v>
      </c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9"/>
      <c r="BB96" s="19"/>
      <c r="BC96" s="19"/>
      <c r="BD96" s="19"/>
      <c r="BE96" s="19"/>
      <c r="BF96" s="19"/>
      <c r="BG96" s="180"/>
    </row>
    <row r="97" spans="1:59" s="173" customFormat="1" x14ac:dyDescent="0.2">
      <c r="A97" s="192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4"/>
      <c r="P97" s="3">
        <v>-65</v>
      </c>
      <c r="Q97" s="3">
        <v>-14</v>
      </c>
      <c r="R97" s="8">
        <v>206</v>
      </c>
      <c r="S97" s="4"/>
      <c r="T97" s="3">
        <v>-70</v>
      </c>
      <c r="U97" s="3">
        <v>-47</v>
      </c>
      <c r="V97" s="4"/>
      <c r="W97" s="4"/>
      <c r="X97" s="3">
        <v>106</v>
      </c>
      <c r="Y97" s="4"/>
      <c r="Z97" s="4"/>
      <c r="AA97" s="4"/>
      <c r="AB97" s="4"/>
      <c r="AC97" s="4"/>
      <c r="AD97" s="3">
        <v>-92</v>
      </c>
      <c r="AF97" s="174"/>
      <c r="AG97" s="174"/>
      <c r="AH97" s="174"/>
      <c r="AI97" s="174"/>
      <c r="AJ97" s="174"/>
      <c r="AK97" s="174"/>
      <c r="AL97" s="174"/>
      <c r="AM97" s="174"/>
      <c r="AN97" s="174"/>
      <c r="AO97" s="174"/>
      <c r="AP97" s="174"/>
      <c r="AQ97" s="174"/>
      <c r="AR97" s="174"/>
      <c r="AS97" s="174"/>
      <c r="AT97" s="174"/>
      <c r="AU97" s="174"/>
      <c r="AV97" s="174"/>
      <c r="AW97" s="174"/>
      <c r="AX97" s="174"/>
      <c r="AY97" s="174"/>
      <c r="AZ97" s="174"/>
      <c r="BA97" s="19"/>
      <c r="BB97" s="19"/>
      <c r="BC97" s="19"/>
      <c r="BD97" s="19"/>
      <c r="BE97" s="19"/>
      <c r="BF97" s="19"/>
      <c r="BG97" s="180"/>
    </row>
    <row r="98" spans="1:59" s="47" customFormat="1" x14ac:dyDescent="0.2">
      <c r="A98" s="190" t="s">
        <v>86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31">
        <f>Data!D53</f>
        <v>-97</v>
      </c>
      <c r="R98" s="44">
        <f>Data!E53</f>
        <v>47</v>
      </c>
      <c r="S98" s="17">
        <f>Data!F53</f>
        <v>376</v>
      </c>
      <c r="T98" s="16"/>
      <c r="U98" s="17">
        <f>Data!H53</f>
        <v>352</v>
      </c>
      <c r="V98" s="43">
        <f>Data!I53</f>
        <v>135</v>
      </c>
      <c r="W98" s="44">
        <f>Data!J53</f>
        <v>148</v>
      </c>
      <c r="X98" s="18">
        <f>Data!K53</f>
        <v>286</v>
      </c>
      <c r="Y98" s="43">
        <f>Data!L53</f>
        <v>142</v>
      </c>
      <c r="Z98" s="18">
        <f>Data!M53</f>
        <v>247</v>
      </c>
      <c r="AA98" s="18">
        <f>Data!N53</f>
        <v>322</v>
      </c>
      <c r="AB98" s="43">
        <f>Data!O53</f>
        <v>248</v>
      </c>
      <c r="AC98" s="31">
        <f>Data!P53</f>
        <v>-4</v>
      </c>
      <c r="AD98" s="31">
        <f>Data!Q53</f>
        <v>-35</v>
      </c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  <c r="AY98" s="116"/>
      <c r="AZ98" s="116"/>
      <c r="BA98" s="16"/>
      <c r="BB98" s="16"/>
      <c r="BC98" s="16"/>
      <c r="BD98" s="16"/>
      <c r="BE98" s="16"/>
      <c r="BF98" s="16"/>
      <c r="BG98" s="180"/>
    </row>
    <row r="99" spans="1:59" s="47" customFormat="1" x14ac:dyDescent="0.2">
      <c r="A99" s="191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20">
        <f>Data!E54</f>
        <v>47</v>
      </c>
      <c r="S99" s="22">
        <f>Data!F54</f>
        <v>165</v>
      </c>
      <c r="T99" s="20">
        <f>Data!G54</f>
        <v>-26</v>
      </c>
      <c r="U99" s="20">
        <f>Data!H54</f>
        <v>-98</v>
      </c>
      <c r="V99" s="20">
        <f>Data!I54</f>
        <v>48</v>
      </c>
      <c r="W99" s="24">
        <f>Data!J54</f>
        <v>259</v>
      </c>
      <c r="X99" s="20">
        <f>Data!K54</f>
        <v>-46</v>
      </c>
      <c r="Y99" s="22">
        <f>Data!L54</f>
        <v>230</v>
      </c>
      <c r="Z99" s="20">
        <f>Data!M54</f>
        <v>19</v>
      </c>
      <c r="AA99" s="22">
        <f>Data!N54</f>
        <v>127</v>
      </c>
      <c r="AB99" s="20">
        <f>Data!O54</f>
        <v>-37</v>
      </c>
      <c r="AC99" s="20">
        <f>Data!P54</f>
        <v>54</v>
      </c>
      <c r="AD99" s="20">
        <f>Data!Q54</f>
        <v>209</v>
      </c>
      <c r="AE99" s="117"/>
      <c r="AF99" s="117"/>
      <c r="AG99" s="117"/>
      <c r="AH99" s="117"/>
      <c r="AI99" s="117"/>
      <c r="AJ99" s="117"/>
      <c r="AK99" s="117"/>
      <c r="AL99" s="117"/>
      <c r="AM99" s="117"/>
      <c r="AN99" s="117"/>
      <c r="AO99" s="117"/>
      <c r="AP99" s="117"/>
      <c r="AQ99" s="117"/>
      <c r="AR99" s="117"/>
      <c r="AS99" s="117"/>
      <c r="AT99" s="117"/>
      <c r="AU99" s="117"/>
      <c r="AV99" s="117"/>
      <c r="AW99" s="117"/>
      <c r="AX99" s="117"/>
      <c r="AY99" s="117"/>
      <c r="AZ99" s="117"/>
      <c r="BA99" s="19"/>
      <c r="BB99" s="19"/>
      <c r="BC99" s="19"/>
      <c r="BD99" s="19"/>
      <c r="BE99" s="19"/>
      <c r="BF99" s="19"/>
      <c r="BG99" s="180"/>
    </row>
    <row r="100" spans="1:59" s="47" customFormat="1" x14ac:dyDescent="0.2">
      <c r="A100" s="191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0">
        <f>Data!D55</f>
        <v>51</v>
      </c>
      <c r="R100" s="20">
        <f>Data!E55</f>
        <v>32</v>
      </c>
      <c r="S100" s="20">
        <f>Data!F55</f>
        <v>62</v>
      </c>
      <c r="T100" s="20">
        <f>Data!G55</f>
        <v>51</v>
      </c>
      <c r="U100" s="21">
        <f>Data!H55</f>
        <v>230</v>
      </c>
      <c r="V100" s="23">
        <f>Data!I55</f>
        <v>349</v>
      </c>
      <c r="W100" s="24">
        <f>Data!J55</f>
        <v>315</v>
      </c>
      <c r="X100" s="23">
        <f>Data!K55</f>
        <v>435</v>
      </c>
      <c r="Y100" s="21">
        <f>Data!L55</f>
        <v>176</v>
      </c>
      <c r="Z100" s="22">
        <f>Data!M55</f>
        <v>6</v>
      </c>
      <c r="AA100" s="21">
        <f>Data!N55</f>
        <v>169</v>
      </c>
      <c r="AB100" s="20">
        <f>Data!O55</f>
        <v>-98</v>
      </c>
      <c r="AC100" s="20">
        <f>Data!P55</f>
        <v>-86</v>
      </c>
      <c r="AD100" s="20">
        <f>Data!Q55</f>
        <v>-9</v>
      </c>
      <c r="AE100" s="117"/>
      <c r="AF100" s="117"/>
      <c r="AG100" s="117"/>
      <c r="AH100" s="117"/>
      <c r="AI100" s="117"/>
      <c r="AJ100" s="117"/>
      <c r="AK100" s="117"/>
      <c r="AL100" s="117"/>
      <c r="AM100" s="117"/>
      <c r="AN100" s="117"/>
      <c r="AO100" s="117"/>
      <c r="AP100" s="117"/>
      <c r="AQ100" s="117"/>
      <c r="AR100" s="117"/>
      <c r="AS100" s="117"/>
      <c r="AT100" s="117"/>
      <c r="AU100" s="117"/>
      <c r="AV100" s="117"/>
      <c r="AW100" s="117"/>
      <c r="AX100" s="117"/>
      <c r="AY100" s="117"/>
      <c r="AZ100" s="117"/>
      <c r="BA100" s="19"/>
      <c r="BB100" s="19"/>
      <c r="BC100" s="19"/>
      <c r="BD100" s="19"/>
      <c r="BE100" s="19"/>
      <c r="BF100" s="19"/>
      <c r="BG100" s="180"/>
    </row>
    <row r="101" spans="1:59" s="47" customFormat="1" x14ac:dyDescent="0.2">
      <c r="A101" s="192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25">
        <f>Data!D56</f>
        <v>-97</v>
      </c>
      <c r="R101" s="25">
        <f>Data!E56</f>
        <v>0</v>
      </c>
      <c r="S101" s="25">
        <f>Data!F56</f>
        <v>189</v>
      </c>
      <c r="T101" s="29">
        <f>Data!G56</f>
        <v>226</v>
      </c>
      <c r="U101" s="29">
        <f>Data!H56</f>
        <v>280</v>
      </c>
      <c r="V101" s="25">
        <f>Data!I56</f>
        <v>36</v>
      </c>
      <c r="W101" s="25">
        <f>Data!J56</f>
        <v>42</v>
      </c>
      <c r="X101" s="25">
        <f>Data!K56</f>
        <v>-52</v>
      </c>
      <c r="Y101" s="27">
        <f>Data!L56</f>
        <v>373</v>
      </c>
      <c r="Z101" s="27">
        <f>Data!M56</f>
        <v>546</v>
      </c>
      <c r="AA101" s="25">
        <f>Data!N56</f>
        <v>-17</v>
      </c>
      <c r="AB101" s="25">
        <f>Data!O56</f>
        <v>-53</v>
      </c>
      <c r="AC101" s="25">
        <f>Data!P56</f>
        <v>38</v>
      </c>
      <c r="AD101" s="26">
        <f>Data!Q56</f>
        <v>256</v>
      </c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3"/>
      <c r="BB101" s="33"/>
      <c r="BC101" s="33"/>
      <c r="BD101" s="33"/>
      <c r="BE101" s="33"/>
      <c r="BF101" s="19"/>
      <c r="BG101" s="180"/>
    </row>
    <row r="102" spans="1:59" s="51" customFormat="1" x14ac:dyDescent="0.2">
      <c r="A102" s="190" t="s">
        <v>92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44">
        <f>Data!D58</f>
        <v>168</v>
      </c>
      <c r="S102" s="31">
        <f>Data!E58</f>
        <v>-98</v>
      </c>
      <c r="T102" s="16"/>
      <c r="U102" s="31">
        <f>Data!G58</f>
        <v>28</v>
      </c>
      <c r="V102" s="16"/>
      <c r="W102" s="31">
        <f>Data!I58</f>
        <v>-4</v>
      </c>
      <c r="X102" s="44">
        <f>Data!J58</f>
        <v>174</v>
      </c>
      <c r="Y102" s="17">
        <f>Data!K58</f>
        <v>317</v>
      </c>
      <c r="Z102" s="31">
        <f>Data!L58</f>
        <v>4</v>
      </c>
      <c r="AA102" s="31">
        <f>Data!M58</f>
        <v>-99</v>
      </c>
      <c r="AB102" s="16"/>
      <c r="AC102" s="31">
        <f>Data!O58</f>
        <v>-65</v>
      </c>
      <c r="AD102" s="17">
        <f>Data!P58</f>
        <v>484</v>
      </c>
      <c r="AE102" s="31">
        <f>Data!Q58</f>
        <v>-25</v>
      </c>
      <c r="AF102" s="16"/>
      <c r="AG102" s="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  <c r="AY102" s="116"/>
      <c r="AZ102" s="116"/>
      <c r="BA102" s="16"/>
      <c r="BB102" s="16"/>
      <c r="BC102" s="16"/>
      <c r="BD102" s="16"/>
      <c r="BE102" s="16"/>
      <c r="BF102" s="16"/>
      <c r="BG102" s="180"/>
    </row>
    <row r="103" spans="1:59" s="51" customFormat="1" x14ac:dyDescent="0.2">
      <c r="A103" s="191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20">
        <f>Data!E59</f>
        <v>73</v>
      </c>
      <c r="T103" s="22">
        <f>Data!F59</f>
        <v>153</v>
      </c>
      <c r="U103" s="21">
        <f>Data!G59</f>
        <v>227</v>
      </c>
      <c r="V103" s="20">
        <f>Data!H59</f>
        <v>136</v>
      </c>
      <c r="W103" s="21">
        <f>Data!I59</f>
        <v>200</v>
      </c>
      <c r="X103" s="20">
        <f>Data!J59</f>
        <v>-51</v>
      </c>
      <c r="Y103" s="21">
        <f>Data!K59</f>
        <v>315</v>
      </c>
      <c r="Z103" s="19"/>
      <c r="AA103" s="20">
        <f>Data!M59</f>
        <v>-95</v>
      </c>
      <c r="AB103" s="19"/>
      <c r="AC103" s="20">
        <f>Data!O59</f>
        <v>-16</v>
      </c>
      <c r="AD103" s="19"/>
      <c r="AE103" s="19"/>
      <c r="AF103" s="19"/>
      <c r="AG103" s="19"/>
      <c r="AH103" s="117"/>
      <c r="AI103" s="117"/>
      <c r="AJ103" s="117"/>
      <c r="AK103" s="117"/>
      <c r="AL103" s="117"/>
      <c r="AM103" s="117"/>
      <c r="AN103" s="117"/>
      <c r="AO103" s="117"/>
      <c r="AP103" s="117"/>
      <c r="AQ103" s="117"/>
      <c r="AR103" s="117"/>
      <c r="AS103" s="117"/>
      <c r="AT103" s="117"/>
      <c r="AU103" s="117"/>
      <c r="AV103" s="117"/>
      <c r="AW103" s="117"/>
      <c r="AX103" s="117"/>
      <c r="AY103" s="117"/>
      <c r="AZ103" s="117"/>
      <c r="BA103" s="19"/>
      <c r="BB103" s="19"/>
      <c r="BC103" s="19"/>
      <c r="BD103" s="19"/>
      <c r="BE103" s="19"/>
      <c r="BF103" s="19"/>
      <c r="BG103" s="180"/>
    </row>
    <row r="104" spans="1:59" s="51" customFormat="1" x14ac:dyDescent="0.2">
      <c r="A104" s="191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20">
        <f>Data!D60</f>
        <v>35</v>
      </c>
      <c r="S104" s="23">
        <f>Data!E60</f>
        <v>527</v>
      </c>
      <c r="T104" s="23">
        <f>Data!F60</f>
        <v>516</v>
      </c>
      <c r="U104" s="20">
        <f>Data!G60</f>
        <v>0</v>
      </c>
      <c r="V104" s="24">
        <f>Data!H60</f>
        <v>347</v>
      </c>
      <c r="W104" s="23">
        <f>Data!I60</f>
        <v>429</v>
      </c>
      <c r="X104" s="24">
        <f>Data!J60</f>
        <v>295</v>
      </c>
      <c r="Y104" s="24">
        <f>Data!K60</f>
        <v>329</v>
      </c>
      <c r="Z104" s="22">
        <f>Data!L60</f>
        <v>179</v>
      </c>
      <c r="AA104" s="21">
        <f>Data!M60</f>
        <v>335</v>
      </c>
      <c r="AB104" s="21">
        <f>Data!N60</f>
        <v>129</v>
      </c>
      <c r="AC104" s="24">
        <f>Data!O60</f>
        <v>222</v>
      </c>
      <c r="AD104" s="20">
        <f>Data!P60</f>
        <v>-47</v>
      </c>
      <c r="AE104" s="22">
        <f>Data!Q60</f>
        <v>170</v>
      </c>
      <c r="AF104" s="19"/>
      <c r="AG104" s="20">
        <f>Data!S60</f>
        <v>149</v>
      </c>
      <c r="AH104" s="117"/>
      <c r="AI104" s="117"/>
      <c r="AJ104" s="117"/>
      <c r="AK104" s="117"/>
      <c r="AL104" s="117"/>
      <c r="AM104" s="117"/>
      <c r="AN104" s="117"/>
      <c r="AO104" s="117"/>
      <c r="AP104" s="117"/>
      <c r="AQ104" s="117"/>
      <c r="AR104" s="117"/>
      <c r="AS104" s="117"/>
      <c r="AT104" s="117"/>
      <c r="AU104" s="117"/>
      <c r="AV104" s="117"/>
      <c r="AW104" s="117"/>
      <c r="AX104" s="117"/>
      <c r="AY104" s="117"/>
      <c r="AZ104" s="117"/>
      <c r="BA104" s="19"/>
      <c r="BB104" s="19"/>
      <c r="BC104" s="19"/>
      <c r="BD104" s="19"/>
      <c r="BE104" s="19"/>
      <c r="BF104" s="19"/>
      <c r="BG104" s="180"/>
    </row>
    <row r="105" spans="1:59" s="51" customFormat="1" x14ac:dyDescent="0.2">
      <c r="A105" s="192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25">
        <f>Data!E61</f>
        <v>-5</v>
      </c>
      <c r="T105" s="29">
        <f>Data!F61</f>
        <v>116</v>
      </c>
      <c r="U105" s="25">
        <f>Data!G61</f>
        <v>38</v>
      </c>
      <c r="V105" s="25">
        <f>Data!H61</f>
        <v>-18</v>
      </c>
      <c r="W105" s="27">
        <f>Data!I61</f>
        <v>501</v>
      </c>
      <c r="X105" s="29">
        <f>Data!J61</f>
        <v>321</v>
      </c>
      <c r="Y105" s="25">
        <f>Data!K61</f>
        <v>95</v>
      </c>
      <c r="Z105" s="25">
        <f>Data!L61</f>
        <v>84</v>
      </c>
      <c r="AA105" s="25">
        <f>Data!M61</f>
        <v>48</v>
      </c>
      <c r="AB105" s="25">
        <f>Data!N61</f>
        <v>-48</v>
      </c>
      <c r="AC105" s="29">
        <f>Data!O61</f>
        <v>167</v>
      </c>
      <c r="AD105" s="33"/>
      <c r="AE105" s="33"/>
      <c r="AF105" s="33"/>
      <c r="AG105" s="33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3"/>
      <c r="BB105" s="33"/>
      <c r="BC105" s="33"/>
      <c r="BD105" s="33"/>
      <c r="BE105" s="33"/>
      <c r="BF105" s="19"/>
      <c r="BG105" s="180"/>
    </row>
    <row r="106" spans="1:59" s="34" customFormat="1" x14ac:dyDescent="0.2">
      <c r="A106" s="190" t="s">
        <v>62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7">
        <f>Data!M38</f>
        <v>376</v>
      </c>
      <c r="AD106" s="43">
        <f>Data!N38</f>
        <v>181</v>
      </c>
      <c r="AE106" s="16"/>
      <c r="AF106" s="31">
        <f>Data!P38</f>
        <v>99</v>
      </c>
      <c r="AG106" s="31">
        <f>Data!Q38</f>
        <v>24</v>
      </c>
      <c r="AH106" s="17">
        <f>Data!R38</f>
        <v>509</v>
      </c>
      <c r="AI106" s="17">
        <f>Data!S38</f>
        <v>423</v>
      </c>
      <c r="AJ106" s="16"/>
      <c r="AK106" s="17">
        <f>Data!U38</f>
        <v>438</v>
      </c>
      <c r="AL106" s="43">
        <f>Data!V38</f>
        <v>118</v>
      </c>
      <c r="AM106" s="44">
        <f>Data!W38</f>
        <v>232</v>
      </c>
      <c r="AN106" s="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6"/>
      <c r="BB106" s="16"/>
      <c r="BC106" s="16"/>
      <c r="BD106" s="16"/>
      <c r="BE106" s="16"/>
      <c r="BF106" s="16"/>
      <c r="BG106" s="180"/>
    </row>
    <row r="107" spans="1:59" s="34" customFormat="1" x14ac:dyDescent="0.2">
      <c r="A107" s="191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20">
        <f>Data!E39</f>
        <v>-91</v>
      </c>
      <c r="V107" s="21">
        <f>Data!F39</f>
        <v>180</v>
      </c>
      <c r="W107" s="20">
        <f>Data!G39</f>
        <v>12</v>
      </c>
      <c r="X107" s="24">
        <f>Data!H39</f>
        <v>281</v>
      </c>
      <c r="Y107" s="24">
        <f>Data!I39</f>
        <v>354</v>
      </c>
      <c r="Z107" s="21">
        <f>Data!J39</f>
        <v>309</v>
      </c>
      <c r="AA107" s="19"/>
      <c r="AB107" s="20">
        <f>Data!L39</f>
        <v>-10</v>
      </c>
      <c r="AC107" s="22">
        <f>Data!M39</f>
        <v>129</v>
      </c>
      <c r="AD107" s="20">
        <f>Data!N39</f>
        <v>-71</v>
      </c>
      <c r="AE107" s="19"/>
      <c r="AF107" s="20">
        <f>Data!P39</f>
        <v>-99</v>
      </c>
      <c r="AG107" s="23">
        <f>Data!Q39</f>
        <v>300</v>
      </c>
      <c r="AH107" s="20">
        <f>Data!R39</f>
        <v>-39</v>
      </c>
      <c r="AI107" s="22">
        <f>Data!S39</f>
        <v>192</v>
      </c>
      <c r="AJ107" s="22">
        <f>Data!T39</f>
        <v>112</v>
      </c>
      <c r="AK107" s="22">
        <f>Data!U39</f>
        <v>152</v>
      </c>
      <c r="AL107" s="20">
        <f>Data!V39</f>
        <v>-99</v>
      </c>
      <c r="AM107" s="20">
        <f>Data!W39</f>
        <v>-95</v>
      </c>
      <c r="AN107" s="19"/>
      <c r="AO107" s="117"/>
      <c r="AP107" s="117"/>
      <c r="AQ107" s="117"/>
      <c r="AR107" s="117"/>
      <c r="AS107" s="117"/>
      <c r="AT107" s="117"/>
      <c r="AU107" s="117"/>
      <c r="AV107" s="117"/>
      <c r="AW107" s="117"/>
      <c r="AX107" s="117"/>
      <c r="AY107" s="117"/>
      <c r="AZ107" s="117"/>
      <c r="BA107" s="19"/>
      <c r="BB107" s="19"/>
      <c r="BC107" s="19"/>
      <c r="BD107" s="19"/>
      <c r="BE107" s="19"/>
      <c r="BF107" s="19"/>
      <c r="BG107" s="180"/>
    </row>
    <row r="108" spans="1:59" s="34" customFormat="1" x14ac:dyDescent="0.2">
      <c r="A108" s="191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20">
        <f>Data!E40</f>
        <v>-9</v>
      </c>
      <c r="V108" s="19"/>
      <c r="W108" s="19"/>
      <c r="X108" s="19"/>
      <c r="Y108" s="22">
        <f>Data!I40</f>
        <v>147</v>
      </c>
      <c r="Z108" s="23">
        <f>Data!J40</f>
        <v>458</v>
      </c>
      <c r="AA108" s="22">
        <f>Data!K40</f>
        <v>167</v>
      </c>
      <c r="AB108" s="20">
        <f>Data!L40</f>
        <v>132</v>
      </c>
      <c r="AC108" s="21">
        <f>Data!M40</f>
        <v>205</v>
      </c>
      <c r="AD108" s="20">
        <f>Data!N40</f>
        <v>-99</v>
      </c>
      <c r="AE108" s="19"/>
      <c r="AF108" s="20">
        <f>Data!P40</f>
        <v>-27</v>
      </c>
      <c r="AG108" s="24">
        <f>Data!Q40</f>
        <v>331</v>
      </c>
      <c r="AH108" s="21">
        <f>Data!R40</f>
        <v>210</v>
      </c>
      <c r="AI108" s="21">
        <f>Data!S40</f>
        <v>193</v>
      </c>
      <c r="AJ108" s="20">
        <f>Data!T40</f>
        <v>-66</v>
      </c>
      <c r="AK108" s="20">
        <f>Data!U40</f>
        <v>38</v>
      </c>
      <c r="AL108" s="19"/>
      <c r="AM108" s="19"/>
      <c r="AN108" s="20">
        <f>Data!X40</f>
        <v>59</v>
      </c>
      <c r="AO108" s="117"/>
      <c r="AP108" s="117"/>
      <c r="AQ108" s="117"/>
      <c r="AR108" s="117"/>
      <c r="AS108" s="117"/>
      <c r="AT108" s="117"/>
      <c r="AU108" s="117"/>
      <c r="AV108" s="117"/>
      <c r="AW108" s="117"/>
      <c r="AX108" s="117"/>
      <c r="AY108" s="117"/>
      <c r="AZ108" s="117"/>
      <c r="BA108" s="19"/>
      <c r="BB108" s="19"/>
      <c r="BC108" s="19"/>
      <c r="BD108" s="19"/>
      <c r="BE108" s="19"/>
      <c r="BF108" s="19"/>
      <c r="BG108" s="180"/>
    </row>
    <row r="109" spans="1:59" s="34" customFormat="1" x14ac:dyDescent="0.2">
      <c r="A109" s="192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25">
        <f>Data!D41</f>
        <v>-99</v>
      </c>
      <c r="U109" s="25">
        <f>Data!E41</f>
        <v>-11</v>
      </c>
      <c r="V109" s="29">
        <f>Data!F41</f>
        <v>200</v>
      </c>
      <c r="W109" s="29">
        <f>Data!G41</f>
        <v>110</v>
      </c>
      <c r="X109" s="28">
        <f>Data!H41</f>
        <v>379</v>
      </c>
      <c r="Y109" s="25">
        <f>Data!I41</f>
        <v>-47</v>
      </c>
      <c r="Z109" s="26">
        <f>Data!J41</f>
        <v>186</v>
      </c>
      <c r="AA109" s="25">
        <f>Data!K41</f>
        <v>-61</v>
      </c>
      <c r="AB109" s="27">
        <f>Data!L41</f>
        <v>508</v>
      </c>
      <c r="AC109" s="28">
        <f>Data!M41</f>
        <v>360</v>
      </c>
      <c r="AD109" s="29">
        <f>Data!N41</f>
        <v>189</v>
      </c>
      <c r="AE109" s="25">
        <f>Data!O41</f>
        <v>46</v>
      </c>
      <c r="AF109" s="25">
        <f>Data!P41</f>
        <v>121</v>
      </c>
      <c r="AG109" s="27">
        <f>Data!Q41</f>
        <v>304</v>
      </c>
      <c r="AH109" s="25">
        <f>Data!R41</f>
        <v>-36</v>
      </c>
      <c r="AI109" s="26">
        <f>Data!S41</f>
        <v>103</v>
      </c>
      <c r="AJ109" s="28">
        <f>Data!T41</f>
        <v>226</v>
      </c>
      <c r="AK109" s="29">
        <f>Data!U41</f>
        <v>221</v>
      </c>
      <c r="AL109" s="26">
        <f>Data!V41</f>
        <v>246</v>
      </c>
      <c r="AM109" s="28">
        <f>Data!W41</f>
        <v>272</v>
      </c>
      <c r="AN109" s="25">
        <f>Data!X41</f>
        <v>18</v>
      </c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3"/>
      <c r="BB109" s="33"/>
      <c r="BC109" s="33"/>
      <c r="BD109" s="33"/>
      <c r="BE109" s="33"/>
      <c r="BF109" s="19"/>
      <c r="BG109" s="180"/>
    </row>
    <row r="110" spans="1:59" s="101" customFormat="1" x14ac:dyDescent="0.2">
      <c r="A110" s="190" t="s">
        <v>206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31">
        <f>Data!I143</f>
        <v>19</v>
      </c>
      <c r="AA110" s="31">
        <f>Data!J143</f>
        <v>-46</v>
      </c>
      <c r="AB110" s="16"/>
      <c r="AC110" s="43">
        <f>Data!L143</f>
        <v>175</v>
      </c>
      <c r="AD110" s="18">
        <f>Data!M143</f>
        <v>231</v>
      </c>
      <c r="AE110" s="43">
        <f>Data!N143</f>
        <v>306</v>
      </c>
      <c r="AF110" s="31">
        <f>Data!O143</f>
        <v>-37</v>
      </c>
      <c r="AG110" s="31">
        <f>Data!P143</f>
        <v>-3</v>
      </c>
      <c r="AH110" s="31">
        <f>Data!Q143</f>
        <v>-62</v>
      </c>
      <c r="AI110" s="31">
        <f>Data!R143</f>
        <v>-47</v>
      </c>
      <c r="AJ110" s="31">
        <f>Data!S143</f>
        <v>-11</v>
      </c>
      <c r="AK110" s="16"/>
      <c r="AL110" s="16"/>
      <c r="AM110" s="16"/>
      <c r="AN110" s="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6"/>
      <c r="BB110" s="16"/>
      <c r="BC110" s="16"/>
      <c r="BD110" s="16"/>
      <c r="BE110" s="16"/>
      <c r="BF110" s="16"/>
      <c r="BG110" s="180"/>
    </row>
    <row r="111" spans="1:59" s="101" customFormat="1" x14ac:dyDescent="0.2">
      <c r="A111" s="191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20">
        <f>Data!E144</f>
        <v>4</v>
      </c>
      <c r="W111" s="23">
        <f>Data!F144</f>
        <v>389</v>
      </c>
      <c r="X111" s="22">
        <f>Data!G144</f>
        <v>147</v>
      </c>
      <c r="Y111" s="22">
        <f>Data!H144</f>
        <v>162</v>
      </c>
      <c r="Z111" s="20">
        <f>Data!I144</f>
        <v>-16</v>
      </c>
      <c r="AA111" s="20">
        <f>Data!J144</f>
        <v>-38</v>
      </c>
      <c r="AB111" s="20">
        <f>Data!K144</f>
        <v>22</v>
      </c>
      <c r="AC111" s="24">
        <f>Data!L144</f>
        <v>272</v>
      </c>
      <c r="AD111" s="20">
        <f>Data!M144</f>
        <v>10</v>
      </c>
      <c r="AE111" s="20">
        <f>Data!N144</f>
        <v>-13</v>
      </c>
      <c r="AF111" s="20">
        <f>Data!O144</f>
        <v>-6</v>
      </c>
      <c r="AG111" s="20">
        <f>Data!P144</f>
        <v>-1</v>
      </c>
      <c r="AH111" s="20">
        <f>Data!Q144</f>
        <v>43</v>
      </c>
      <c r="AI111" s="20">
        <f>Data!R144</f>
        <v>-47</v>
      </c>
      <c r="AJ111" s="20">
        <f>Data!S144</f>
        <v>-99</v>
      </c>
      <c r="AK111" s="20">
        <f>Data!T144</f>
        <v>-54</v>
      </c>
      <c r="AL111" s="19"/>
      <c r="AM111" s="19"/>
      <c r="AN111" s="19"/>
      <c r="AO111" s="117"/>
      <c r="AP111" s="117"/>
      <c r="AQ111" s="117"/>
      <c r="AR111" s="117"/>
      <c r="AS111" s="117"/>
      <c r="AT111" s="117"/>
      <c r="AU111" s="117"/>
      <c r="AV111" s="117"/>
      <c r="AW111" s="117"/>
      <c r="AX111" s="117"/>
      <c r="AY111" s="117"/>
      <c r="AZ111" s="117"/>
      <c r="BA111" s="19"/>
      <c r="BB111" s="19"/>
      <c r="BC111" s="19"/>
      <c r="BD111" s="19"/>
      <c r="BE111" s="19"/>
      <c r="BF111" s="19"/>
      <c r="BG111" s="180"/>
    </row>
    <row r="112" spans="1:59" s="101" customFormat="1" x14ac:dyDescent="0.2">
      <c r="A112" s="191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20">
        <f>Data!E145</f>
        <v>-6</v>
      </c>
      <c r="W112" s="20">
        <f>Data!F145</f>
        <v>94</v>
      </c>
      <c r="X112" s="20">
        <f>Data!G145</f>
        <v>69</v>
      </c>
      <c r="Y112" s="20">
        <f>Data!H145</f>
        <v>-92</v>
      </c>
      <c r="Z112" s="20">
        <f>Data!I145</f>
        <v>-99</v>
      </c>
      <c r="AA112" s="20">
        <f>Data!J145</f>
        <v>10</v>
      </c>
      <c r="AB112" s="22">
        <f>Data!K145</f>
        <v>124</v>
      </c>
      <c r="AC112" s="20">
        <f>Data!L145</f>
        <v>-35</v>
      </c>
      <c r="AD112" s="20">
        <f>Data!M145</f>
        <v>-17</v>
      </c>
      <c r="AE112" s="20">
        <f>Data!N145</f>
        <v>-37</v>
      </c>
      <c r="AF112" s="20">
        <f>Data!O145</f>
        <v>-14</v>
      </c>
      <c r="AG112" s="19"/>
      <c r="AH112" s="20">
        <f>Data!Q145</f>
        <v>-40</v>
      </c>
      <c r="AI112" s="20">
        <f>Data!R145</f>
        <v>-35</v>
      </c>
      <c r="AJ112" s="20">
        <f>Data!S145</f>
        <v>-17</v>
      </c>
      <c r="AK112" s="19"/>
      <c r="AL112" s="19"/>
      <c r="AM112" s="19"/>
      <c r="AN112" s="19"/>
      <c r="AO112" s="117"/>
      <c r="AP112" s="117"/>
      <c r="AQ112" s="117"/>
      <c r="AR112" s="117"/>
      <c r="AS112" s="117"/>
      <c r="AT112" s="117"/>
      <c r="AU112" s="117"/>
      <c r="AV112" s="117"/>
      <c r="AW112" s="117"/>
      <c r="AX112" s="117"/>
      <c r="AY112" s="117"/>
      <c r="AZ112" s="117"/>
      <c r="BA112" s="19"/>
      <c r="BB112" s="19"/>
      <c r="BC112" s="19"/>
      <c r="BD112" s="19"/>
      <c r="BE112" s="19"/>
      <c r="BF112" s="19"/>
      <c r="BG112" s="180"/>
    </row>
    <row r="113" spans="1:59" s="101" customFormat="1" x14ac:dyDescent="0.2">
      <c r="A113" s="192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25">
        <f>Data!D146</f>
        <v>-86</v>
      </c>
      <c r="V113" s="25">
        <f>Data!E146</f>
        <v>163</v>
      </c>
      <c r="W113" s="25">
        <f>Data!F146</f>
        <v>18</v>
      </c>
      <c r="X113" s="25">
        <f>Data!G146</f>
        <v>-7</v>
      </c>
      <c r="Y113" s="25">
        <f>Data!H146</f>
        <v>84</v>
      </c>
      <c r="Z113" s="29">
        <f>Data!I146</f>
        <v>257</v>
      </c>
      <c r="AA113" s="26">
        <f>Data!J146</f>
        <v>151</v>
      </c>
      <c r="AB113" s="25">
        <f>Data!K146</f>
        <v>68</v>
      </c>
      <c r="AC113" s="26">
        <f>Data!L146</f>
        <v>84</v>
      </c>
      <c r="AD113" s="28">
        <f>Data!M146</f>
        <v>239</v>
      </c>
      <c r="AE113" s="29">
        <f>Data!N146</f>
        <v>204</v>
      </c>
      <c r="AF113" s="25">
        <f>Data!O146</f>
        <v>-9</v>
      </c>
      <c r="AG113" s="25">
        <f>Data!P146</f>
        <v>-31</v>
      </c>
      <c r="AH113" s="25">
        <f>Data!Q146</f>
        <v>0</v>
      </c>
      <c r="AI113" s="25">
        <f>Data!R146</f>
        <v>-26</v>
      </c>
      <c r="AJ113" s="25">
        <f>Data!S146</f>
        <v>3</v>
      </c>
      <c r="AK113" s="25">
        <f>Data!T146</f>
        <v>-15</v>
      </c>
      <c r="AL113" s="33"/>
      <c r="AM113" s="33"/>
      <c r="AN113" s="33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3"/>
      <c r="BB113" s="33"/>
      <c r="BC113" s="33"/>
      <c r="BD113" s="33"/>
      <c r="BE113" s="33"/>
      <c r="BF113" s="19"/>
      <c r="BG113" s="180"/>
    </row>
    <row r="114" spans="1:59" s="60" customFormat="1" x14ac:dyDescent="0.2">
      <c r="A114" s="190" t="s">
        <v>109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31">
        <f>Data!F68</f>
        <v>6</v>
      </c>
      <c r="Y114" s="31">
        <f>Data!G68</f>
        <v>29</v>
      </c>
      <c r="Z114" s="17">
        <f>Data!H68</f>
        <v>365</v>
      </c>
      <c r="AA114" s="17">
        <f>Data!I68</f>
        <v>427</v>
      </c>
      <c r="AB114" s="43">
        <f>Data!J68</f>
        <v>304</v>
      </c>
      <c r="AC114" s="44">
        <f>Data!K68</f>
        <v>160</v>
      </c>
      <c r="AD114" s="44">
        <f>Data!L68</f>
        <v>108</v>
      </c>
      <c r="AE114" s="31">
        <f>Data!M68</f>
        <v>50</v>
      </c>
      <c r="AF114" s="16"/>
      <c r="AG114" s="31">
        <f>Data!O68</f>
        <v>52</v>
      </c>
      <c r="AH114" s="31">
        <f>Data!P68</f>
        <v>-34</v>
      </c>
      <c r="AI114" s="16"/>
      <c r="AJ114" s="16"/>
      <c r="AK114" s="16"/>
      <c r="AL114" s="16"/>
      <c r="AM114" s="16"/>
      <c r="AN114" s="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6"/>
      <c r="BB114" s="16"/>
      <c r="BC114" s="16"/>
      <c r="BD114" s="16"/>
      <c r="BE114" s="16"/>
      <c r="BF114" s="16"/>
      <c r="BG114" s="180"/>
    </row>
    <row r="115" spans="1:59" s="60" customFormat="1" x14ac:dyDescent="0.2">
      <c r="A115" s="191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20">
        <f>Data!E69</f>
        <v>70</v>
      </c>
      <c r="X115" s="20">
        <f>Data!F69</f>
        <v>32</v>
      </c>
      <c r="Y115" s="23">
        <f>Data!G69</f>
        <v>485</v>
      </c>
      <c r="Z115" s="23">
        <f>Data!H69</f>
        <v>486</v>
      </c>
      <c r="AA115" s="24">
        <f>Data!I69</f>
        <v>341</v>
      </c>
      <c r="AB115" s="21">
        <f>Data!J69</f>
        <v>221</v>
      </c>
      <c r="AC115" s="20">
        <f>Data!K69</f>
        <v>55</v>
      </c>
      <c r="AD115" s="22">
        <f>Data!L69</f>
        <v>118</v>
      </c>
      <c r="AE115" s="20">
        <f>Data!M69</f>
        <v>-39</v>
      </c>
      <c r="AF115" s="20">
        <f>Data!N69</f>
        <v>-42</v>
      </c>
      <c r="AG115" s="20">
        <f>Data!O69</f>
        <v>-35</v>
      </c>
      <c r="AH115" s="19"/>
      <c r="AI115" s="19"/>
      <c r="AJ115" s="19"/>
      <c r="AK115" s="19"/>
      <c r="AL115" s="19"/>
      <c r="AM115" s="19"/>
      <c r="AN115" s="19"/>
      <c r="AO115" s="117"/>
      <c r="AP115" s="117"/>
      <c r="AQ115" s="117"/>
      <c r="AR115" s="117"/>
      <c r="AS115" s="117"/>
      <c r="AT115" s="117"/>
      <c r="AU115" s="117"/>
      <c r="AV115" s="117"/>
      <c r="AW115" s="117"/>
      <c r="AX115" s="117"/>
      <c r="AY115" s="117"/>
      <c r="AZ115" s="117"/>
      <c r="BA115" s="19"/>
      <c r="BB115" s="19"/>
      <c r="BC115" s="19"/>
      <c r="BD115" s="19"/>
      <c r="BE115" s="19"/>
      <c r="BF115" s="19"/>
      <c r="BG115" s="180"/>
    </row>
    <row r="116" spans="1:59" s="60" customFormat="1" x14ac:dyDescent="0.2">
      <c r="A116" s="191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20">
        <f>Data!E70</f>
        <v>-52</v>
      </c>
      <c r="X116" s="20">
        <f>Data!F70</f>
        <v>-97</v>
      </c>
      <c r="Y116" s="22">
        <f>Data!G70</f>
        <v>113</v>
      </c>
      <c r="Z116" s="20">
        <f>Data!H70</f>
        <v>-57</v>
      </c>
      <c r="AA116" s="24">
        <f>Data!I70</f>
        <v>343</v>
      </c>
      <c r="AB116" s="20">
        <f>Data!J70</f>
        <v>-78</v>
      </c>
      <c r="AC116" s="20">
        <f>Data!K70</f>
        <v>-57</v>
      </c>
      <c r="AD116" s="20">
        <f>Data!L70</f>
        <v>-99</v>
      </c>
      <c r="AE116" s="20">
        <f>Data!M70</f>
        <v>-88</v>
      </c>
      <c r="AF116" s="20">
        <f>Data!N70</f>
        <v>-41</v>
      </c>
      <c r="AG116" s="20">
        <f>Data!O70</f>
        <v>133</v>
      </c>
      <c r="AH116" s="19"/>
      <c r="AI116" s="19"/>
      <c r="AJ116" s="19"/>
      <c r="AK116" s="19"/>
      <c r="AL116" s="19"/>
      <c r="AM116" s="19"/>
      <c r="AN116" s="19"/>
      <c r="AO116" s="117"/>
      <c r="AP116" s="117"/>
      <c r="AQ116" s="117"/>
      <c r="AR116" s="117"/>
      <c r="AS116" s="117"/>
      <c r="AT116" s="117"/>
      <c r="AU116" s="117"/>
      <c r="AV116" s="117"/>
      <c r="AW116" s="117"/>
      <c r="AX116" s="117"/>
      <c r="AY116" s="117"/>
      <c r="AZ116" s="117"/>
      <c r="BA116" s="19"/>
      <c r="BB116" s="19"/>
      <c r="BC116" s="19"/>
      <c r="BD116" s="19"/>
      <c r="BE116" s="19"/>
      <c r="BF116" s="19"/>
      <c r="BG116" s="180"/>
    </row>
    <row r="117" spans="1:59" s="60" customFormat="1" x14ac:dyDescent="0.2">
      <c r="A117" s="192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25">
        <f>Data!D71</f>
        <v>3</v>
      </c>
      <c r="W117" s="25">
        <f>Data!E71</f>
        <v>69</v>
      </c>
      <c r="X117" s="25">
        <f>Data!F71</f>
        <v>5</v>
      </c>
      <c r="Y117" s="28">
        <f>Data!G71</f>
        <v>352</v>
      </c>
      <c r="Z117" s="29">
        <f>Data!H71</f>
        <v>294</v>
      </c>
      <c r="AA117" s="25">
        <f>Data!I71</f>
        <v>58</v>
      </c>
      <c r="AB117" s="25">
        <f>Data!J71</f>
        <v>33</v>
      </c>
      <c r="AC117" s="29">
        <f>Data!K71</f>
        <v>313</v>
      </c>
      <c r="AD117" s="33"/>
      <c r="AE117" s="25">
        <f>Data!M71</f>
        <v>-62</v>
      </c>
      <c r="AF117" s="33"/>
      <c r="AG117" s="25">
        <f>Data!O71</f>
        <v>-95</v>
      </c>
      <c r="AH117" s="33"/>
      <c r="AI117" s="33"/>
      <c r="AJ117" s="33"/>
      <c r="AK117" s="33"/>
      <c r="AL117" s="33"/>
      <c r="AM117" s="33"/>
      <c r="AN117" s="33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3"/>
      <c r="BB117" s="33"/>
      <c r="BC117" s="33"/>
      <c r="BD117" s="33"/>
      <c r="BE117" s="33"/>
      <c r="BF117" s="19"/>
      <c r="BG117" s="180"/>
    </row>
    <row r="118" spans="1:59" x14ac:dyDescent="0.2">
      <c r="A118" s="190" t="s">
        <v>15</v>
      </c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6"/>
      <c r="W118" s="31">
        <f>Data!E13</f>
        <v>-81</v>
      </c>
      <c r="X118" s="31">
        <f>Data!F13</f>
        <v>149</v>
      </c>
      <c r="Y118" s="16"/>
      <c r="Z118" s="16"/>
      <c r="AA118" s="43">
        <f>Data!I13</f>
        <v>273</v>
      </c>
      <c r="AB118" s="17">
        <f>Data!J13</f>
        <v>478</v>
      </c>
      <c r="AC118" s="18">
        <f>Data!K13</f>
        <v>306</v>
      </c>
      <c r="AD118" s="31">
        <f>Data!L13</f>
        <v>-28</v>
      </c>
      <c r="AE118" s="17">
        <f>Data!M13</f>
        <v>459</v>
      </c>
      <c r="AF118" s="44">
        <f>Data!N13</f>
        <v>156</v>
      </c>
      <c r="AG118" s="16"/>
      <c r="AH118" s="43">
        <f>Data!P13</f>
        <v>122</v>
      </c>
      <c r="AI118" s="31">
        <f>Data!Q13</f>
        <v>50</v>
      </c>
      <c r="AJ118" s="31">
        <f>Data!R13</f>
        <v>146</v>
      </c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  <c r="BA118" s="16"/>
      <c r="BB118" s="16"/>
      <c r="BC118" s="16"/>
      <c r="BD118" s="16"/>
      <c r="BE118" s="16"/>
      <c r="BF118" s="16"/>
      <c r="BG118" s="180"/>
    </row>
    <row r="119" spans="1:59" x14ac:dyDescent="0.2">
      <c r="A119" s="191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9"/>
      <c r="W119" s="20">
        <f>Data!E14</f>
        <v>-14</v>
      </c>
      <c r="X119" s="19"/>
      <c r="Y119" s="20">
        <f>Data!G14</f>
        <v>-34</v>
      </c>
      <c r="Z119" s="22">
        <f>Data!H14</f>
        <v>147</v>
      </c>
      <c r="AA119" s="22">
        <f>Data!I14</f>
        <v>285</v>
      </c>
      <c r="AB119" s="22">
        <f>Data!J14</f>
        <v>81</v>
      </c>
      <c r="AC119" s="20">
        <f>Data!K14</f>
        <v>-24</v>
      </c>
      <c r="AD119" s="21">
        <f>Data!L14</f>
        <v>333</v>
      </c>
      <c r="AE119" s="20">
        <f>Data!M14</f>
        <v>47</v>
      </c>
      <c r="AF119" s="20">
        <f>Data!N14</f>
        <v>-30</v>
      </c>
      <c r="AG119" s="20">
        <f>Data!O14</f>
        <v>-91</v>
      </c>
      <c r="AH119" s="20">
        <f>Data!P14</f>
        <v>-25</v>
      </c>
      <c r="AI119" s="20">
        <f>Data!Q14</f>
        <v>-26</v>
      </c>
      <c r="AJ119" s="20">
        <f>Data!R14</f>
        <v>-69</v>
      </c>
      <c r="AK119" s="117"/>
      <c r="AL119" s="117"/>
      <c r="AM119" s="117"/>
      <c r="AN119" s="117"/>
      <c r="AO119" s="117"/>
      <c r="AP119" s="117"/>
      <c r="AQ119" s="117"/>
      <c r="AR119" s="117"/>
      <c r="AS119" s="117"/>
      <c r="AT119" s="117"/>
      <c r="AU119" s="117"/>
      <c r="AV119" s="117"/>
      <c r="AW119" s="117"/>
      <c r="AX119" s="117"/>
      <c r="AY119" s="117"/>
      <c r="AZ119" s="117"/>
      <c r="BA119" s="19"/>
      <c r="BB119" s="19"/>
      <c r="BC119" s="19"/>
      <c r="BD119" s="19"/>
      <c r="BE119" s="19"/>
      <c r="BG119" s="180"/>
    </row>
    <row r="120" spans="1:59" x14ac:dyDescent="0.2">
      <c r="A120" s="191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9"/>
      <c r="W120" s="20">
        <f>Data!E15</f>
        <v>-99</v>
      </c>
      <c r="X120" s="20">
        <f>Data!F15</f>
        <v>-41</v>
      </c>
      <c r="Y120" s="20">
        <f>Data!G15</f>
        <v>-23</v>
      </c>
      <c r="Z120" s="21">
        <f>Data!H15</f>
        <v>291</v>
      </c>
      <c r="AA120" s="23">
        <f>Data!I15</f>
        <v>380</v>
      </c>
      <c r="AB120" s="23">
        <f>Data!J15</f>
        <v>515</v>
      </c>
      <c r="AC120" s="23">
        <f>Data!K15</f>
        <v>313</v>
      </c>
      <c r="AD120" s="22">
        <f>Data!L15</f>
        <v>224</v>
      </c>
      <c r="AE120" s="23">
        <f>Data!M15</f>
        <v>397</v>
      </c>
      <c r="AF120" s="23">
        <f>Data!N15</f>
        <v>464</v>
      </c>
      <c r="AG120" s="23">
        <f>Data!O15</f>
        <v>373</v>
      </c>
      <c r="AH120" s="23">
        <f>Data!P15</f>
        <v>279</v>
      </c>
      <c r="AI120" s="20">
        <f>Data!Q15</f>
        <v>31</v>
      </c>
      <c r="AJ120" s="20">
        <f>Data!R15</f>
        <v>-98</v>
      </c>
      <c r="AK120" s="117"/>
      <c r="AL120" s="117"/>
      <c r="AM120" s="117"/>
      <c r="AN120" s="117"/>
      <c r="AO120" s="117"/>
      <c r="AP120" s="117"/>
      <c r="AQ120" s="117"/>
      <c r="AR120" s="117"/>
      <c r="AS120" s="117"/>
      <c r="AT120" s="117"/>
      <c r="AU120" s="117"/>
      <c r="AV120" s="117"/>
      <c r="AW120" s="117"/>
      <c r="AX120" s="117"/>
      <c r="AY120" s="117"/>
      <c r="AZ120" s="117"/>
      <c r="BA120" s="19"/>
      <c r="BB120" s="19"/>
      <c r="BC120" s="19"/>
      <c r="BD120" s="19"/>
      <c r="BE120" s="19"/>
      <c r="BG120" s="180"/>
    </row>
    <row r="121" spans="1:59" x14ac:dyDescent="0.2">
      <c r="A121" s="192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25">
        <f>Data!D16</f>
        <v>-69</v>
      </c>
      <c r="W121" s="25">
        <f>Data!E16</f>
        <v>157</v>
      </c>
      <c r="X121" s="27">
        <f>Data!F16</f>
        <v>503</v>
      </c>
      <c r="Y121" s="26">
        <f>Data!G16</f>
        <v>126</v>
      </c>
      <c r="Z121" s="28">
        <f>Data!H16</f>
        <v>297</v>
      </c>
      <c r="AA121" s="27">
        <f>Data!I16</f>
        <v>478</v>
      </c>
      <c r="AB121" s="25">
        <f>Data!J16</f>
        <v>25</v>
      </c>
      <c r="AC121" s="27">
        <f>Data!K16</f>
        <v>434</v>
      </c>
      <c r="AD121" s="27">
        <f>Data!L16</f>
        <v>467</v>
      </c>
      <c r="AE121" s="25">
        <f>Data!M16</f>
        <v>6</v>
      </c>
      <c r="AF121" s="29">
        <f>Data!N16</f>
        <v>179</v>
      </c>
      <c r="AG121" s="33"/>
      <c r="AH121" s="28">
        <f>Data!P16</f>
        <v>264</v>
      </c>
      <c r="AI121" s="28">
        <f>Data!Q16</f>
        <v>396</v>
      </c>
      <c r="AJ121" s="27">
        <f>Data!R16</f>
        <v>512</v>
      </c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3"/>
      <c r="BB121" s="33"/>
      <c r="BC121" s="33"/>
      <c r="BD121" s="33"/>
      <c r="BE121" s="33"/>
      <c r="BG121" s="180"/>
    </row>
    <row r="122" spans="1:59" s="176" customFormat="1" x14ac:dyDescent="0.2">
      <c r="A122" s="190" t="s">
        <v>175</v>
      </c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6"/>
      <c r="W122" s="16"/>
      <c r="X122" s="31">
        <v>-7</v>
      </c>
      <c r="Y122" s="31">
        <v>63</v>
      </c>
      <c r="Z122" s="44">
        <v>188</v>
      </c>
      <c r="AA122" s="43">
        <v>196</v>
      </c>
      <c r="AB122" s="31">
        <v>-26</v>
      </c>
      <c r="AC122" s="31">
        <v>-6</v>
      </c>
      <c r="AD122" s="16"/>
      <c r="AE122" s="31">
        <v>-20</v>
      </c>
      <c r="AF122" s="16"/>
      <c r="AG122" s="16"/>
      <c r="AH122" s="16"/>
      <c r="AI122" s="16"/>
      <c r="AJ122" s="16"/>
      <c r="AK122" s="16"/>
      <c r="AL122" s="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6"/>
      <c r="BB122" s="16"/>
      <c r="BC122" s="16"/>
      <c r="BD122" s="16"/>
      <c r="BE122" s="16"/>
      <c r="BF122" s="16"/>
      <c r="BG122" s="180"/>
    </row>
    <row r="123" spans="1:59" s="176" customFormat="1" x14ac:dyDescent="0.2">
      <c r="A123" s="191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7"/>
      <c r="V123" s="19"/>
      <c r="W123" s="20">
        <v>-58</v>
      </c>
      <c r="X123" s="20">
        <v>-9</v>
      </c>
      <c r="Y123" s="21">
        <v>134</v>
      </c>
      <c r="Z123" s="20">
        <v>-36</v>
      </c>
      <c r="AA123" s="20">
        <v>69</v>
      </c>
      <c r="AB123" s="20">
        <v>31</v>
      </c>
      <c r="AC123" s="20">
        <v>170</v>
      </c>
      <c r="AD123" s="24">
        <v>335</v>
      </c>
      <c r="AE123" s="19"/>
      <c r="AF123" s="19"/>
      <c r="AG123" s="19"/>
      <c r="AH123" s="19"/>
      <c r="AI123" s="19"/>
      <c r="AJ123" s="19"/>
      <c r="AK123" s="19"/>
      <c r="AL123" s="19"/>
      <c r="AM123" s="177"/>
      <c r="AN123" s="177"/>
      <c r="AO123" s="177"/>
      <c r="AP123" s="177"/>
      <c r="AQ123" s="177"/>
      <c r="AR123" s="177"/>
      <c r="AS123" s="177"/>
      <c r="AT123" s="177"/>
      <c r="AU123" s="177"/>
      <c r="AV123" s="177"/>
      <c r="AW123" s="177"/>
      <c r="AX123" s="177"/>
      <c r="AY123" s="177"/>
      <c r="AZ123" s="177"/>
      <c r="BA123" s="19"/>
      <c r="BB123" s="19"/>
      <c r="BC123" s="19"/>
      <c r="BD123" s="19"/>
      <c r="BE123" s="19"/>
      <c r="BF123" s="19"/>
      <c r="BG123" s="180"/>
    </row>
    <row r="124" spans="1:59" s="176" customFormat="1" x14ac:dyDescent="0.2">
      <c r="A124" s="191"/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9"/>
      <c r="W124" s="20">
        <v>-15</v>
      </c>
      <c r="X124" s="20">
        <v>33</v>
      </c>
      <c r="Y124" s="23">
        <v>491</v>
      </c>
      <c r="Z124" s="22">
        <v>229</v>
      </c>
      <c r="AA124" s="22">
        <v>156</v>
      </c>
      <c r="AB124" s="20">
        <v>-99</v>
      </c>
      <c r="AC124" s="20">
        <v>-27</v>
      </c>
      <c r="AD124" s="20">
        <v>85</v>
      </c>
      <c r="AE124" s="21">
        <v>201</v>
      </c>
      <c r="AF124" s="19"/>
      <c r="AG124" s="19"/>
      <c r="AH124" s="19"/>
      <c r="AI124" s="19"/>
      <c r="AJ124" s="19"/>
      <c r="AK124" s="19"/>
      <c r="AL124" s="19"/>
      <c r="AM124" s="177"/>
      <c r="AN124" s="177"/>
      <c r="AO124" s="177"/>
      <c r="AP124" s="177"/>
      <c r="AQ124" s="177"/>
      <c r="AR124" s="177"/>
      <c r="AS124" s="177"/>
      <c r="AT124" s="177"/>
      <c r="AU124" s="177"/>
      <c r="AV124" s="177"/>
      <c r="AW124" s="177"/>
      <c r="AX124" s="177"/>
      <c r="AY124" s="177"/>
      <c r="AZ124" s="177"/>
      <c r="BA124" s="19"/>
      <c r="BB124" s="19"/>
      <c r="BC124" s="19"/>
      <c r="BD124" s="19"/>
      <c r="BE124" s="19"/>
      <c r="BF124" s="19"/>
      <c r="BG124" s="180"/>
    </row>
    <row r="125" spans="1:59" s="176" customFormat="1" x14ac:dyDescent="0.2">
      <c r="A125" s="192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3"/>
      <c r="W125" s="25">
        <v>-99</v>
      </c>
      <c r="X125" s="25">
        <v>-2</v>
      </c>
      <c r="Y125" s="26">
        <v>142</v>
      </c>
      <c r="Z125" s="25">
        <v>35</v>
      </c>
      <c r="AA125" s="25">
        <v>-23</v>
      </c>
      <c r="AB125" s="28">
        <v>232</v>
      </c>
      <c r="AC125" s="25">
        <v>-10</v>
      </c>
      <c r="AD125" s="25">
        <v>-72</v>
      </c>
      <c r="AE125" s="33"/>
      <c r="AF125" s="33"/>
      <c r="AG125" s="33"/>
      <c r="AH125" s="33"/>
      <c r="AI125" s="33"/>
      <c r="AJ125" s="33"/>
      <c r="AK125" s="33"/>
      <c r="AL125" s="33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3"/>
      <c r="BB125" s="33"/>
      <c r="BC125" s="33"/>
      <c r="BD125" s="33"/>
      <c r="BE125" s="33"/>
      <c r="BF125" s="19"/>
      <c r="BG125" s="180"/>
    </row>
    <row r="126" spans="1:59" s="120" customFormat="1" x14ac:dyDescent="0.2">
      <c r="A126" s="191" t="s">
        <v>121</v>
      </c>
      <c r="B126" s="121"/>
      <c r="C126" s="121"/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121"/>
      <c r="V126" s="19"/>
      <c r="W126" s="4"/>
      <c r="X126" s="3">
        <f>Data!E158</f>
        <v>-54</v>
      </c>
      <c r="Y126" s="3">
        <f>Data!F158</f>
        <v>-5</v>
      </c>
      <c r="Z126" s="4"/>
      <c r="AA126" s="3">
        <f>Data!H158</f>
        <v>129</v>
      </c>
      <c r="AB126" s="4"/>
      <c r="AC126" s="4"/>
      <c r="AD126" s="4"/>
      <c r="AE126" s="3">
        <f>Data!L158</f>
        <v>51</v>
      </c>
      <c r="AF126" s="3">
        <f>Data!M158</f>
        <v>-20</v>
      </c>
      <c r="AH126" s="4"/>
      <c r="AI126" s="3">
        <f>Data!P158</f>
        <v>-39</v>
      </c>
      <c r="AJ126" s="19"/>
      <c r="AK126" s="121"/>
      <c r="AL126" s="121"/>
      <c r="AM126" s="121"/>
      <c r="AN126" s="121"/>
      <c r="AO126" s="121"/>
      <c r="AP126" s="121"/>
      <c r="AQ126" s="121"/>
      <c r="AR126" s="121"/>
      <c r="AS126" s="121"/>
      <c r="AT126" s="121"/>
      <c r="AU126" s="121"/>
      <c r="AV126" s="121"/>
      <c r="AW126" s="121"/>
      <c r="AX126" s="121"/>
      <c r="AY126" s="121"/>
      <c r="AZ126" s="121"/>
      <c r="BA126" s="19"/>
      <c r="BB126" s="19"/>
      <c r="BC126" s="19"/>
      <c r="BD126" s="19"/>
      <c r="BE126" s="19"/>
      <c r="BF126" s="16"/>
      <c r="BG126" s="180"/>
    </row>
    <row r="127" spans="1:59" s="120" customFormat="1" x14ac:dyDescent="0.2">
      <c r="A127" s="191"/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9"/>
      <c r="W127" s="3">
        <f>Data!D159</f>
        <v>32</v>
      </c>
      <c r="X127" s="3">
        <f>Data!E159</f>
        <v>-75</v>
      </c>
      <c r="Y127" s="3">
        <f>Data!F159</f>
        <v>8</v>
      </c>
      <c r="Z127" s="3">
        <f>Data!G159</f>
        <v>-10</v>
      </c>
      <c r="AA127" s="6">
        <f>Data!H159</f>
        <v>414</v>
      </c>
      <c r="AB127" s="6">
        <f>Data!I159</f>
        <v>492</v>
      </c>
      <c r="AC127" s="21">
        <f>Data!J159</f>
        <v>257</v>
      </c>
      <c r="AD127" s="3">
        <f>Data!K159</f>
        <v>37</v>
      </c>
      <c r="AE127" s="7">
        <f>Data!L159</f>
        <v>221</v>
      </c>
      <c r="AF127" s="3">
        <f>Data!M159</f>
        <v>-99</v>
      </c>
      <c r="AH127" s="3">
        <f>Data!O159</f>
        <v>-99</v>
      </c>
      <c r="AI127" s="3">
        <f>Data!P159</f>
        <v>-98</v>
      </c>
      <c r="AJ127" s="19"/>
      <c r="AK127" s="121"/>
      <c r="AL127" s="121"/>
      <c r="AM127" s="121"/>
      <c r="AN127" s="121"/>
      <c r="AO127" s="121"/>
      <c r="AP127" s="121"/>
      <c r="AQ127" s="121"/>
      <c r="AR127" s="121"/>
      <c r="AS127" s="121"/>
      <c r="AT127" s="121"/>
      <c r="AU127" s="121"/>
      <c r="AV127" s="121"/>
      <c r="AW127" s="121"/>
      <c r="AX127" s="121"/>
      <c r="AY127" s="121"/>
      <c r="AZ127" s="121"/>
      <c r="BA127" s="19"/>
      <c r="BB127" s="19"/>
      <c r="BC127" s="19"/>
      <c r="BD127" s="19"/>
      <c r="BE127" s="19"/>
      <c r="BF127" s="19"/>
      <c r="BG127" s="180"/>
    </row>
    <row r="128" spans="1:59" s="120" customFormat="1" x14ac:dyDescent="0.2">
      <c r="A128" s="191"/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9"/>
      <c r="W128" s="3">
        <f>Data!D160</f>
        <v>-23</v>
      </c>
      <c r="X128" s="3">
        <f>Data!E160</f>
        <v>-98</v>
      </c>
      <c r="Y128" s="4"/>
      <c r="Z128" s="4"/>
      <c r="AA128" s="4"/>
      <c r="AB128" s="3">
        <f>Data!I160</f>
        <v>96</v>
      </c>
      <c r="AC128" s="4"/>
      <c r="AD128" s="4"/>
      <c r="AE128" s="4"/>
      <c r="AF128" s="4"/>
      <c r="AH128" s="4"/>
      <c r="AI128" s="3">
        <f>Data!P160</f>
        <v>-99</v>
      </c>
      <c r="AJ128" s="19"/>
      <c r="AK128" s="121"/>
      <c r="AL128" s="121"/>
      <c r="AM128" s="121"/>
      <c r="AN128" s="121"/>
      <c r="AO128" s="121"/>
      <c r="AP128" s="121"/>
      <c r="AQ128" s="121"/>
      <c r="AR128" s="121"/>
      <c r="AS128" s="121"/>
      <c r="AT128" s="121"/>
      <c r="AU128" s="121"/>
      <c r="AV128" s="121"/>
      <c r="AW128" s="121"/>
      <c r="AX128" s="121"/>
      <c r="AY128" s="121"/>
      <c r="AZ128" s="121"/>
      <c r="BA128" s="19"/>
      <c r="BB128" s="19"/>
      <c r="BC128" s="19"/>
      <c r="BD128" s="19"/>
      <c r="BE128" s="19"/>
      <c r="BF128" s="19"/>
      <c r="BG128" s="180"/>
    </row>
    <row r="129" spans="1:59" s="120" customFormat="1" x14ac:dyDescent="0.2">
      <c r="A129" s="191"/>
      <c r="B129" s="121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9"/>
      <c r="W129" s="3">
        <f>Data!D161</f>
        <v>-88</v>
      </c>
      <c r="X129" s="3">
        <f>Data!E161</f>
        <v>-40</v>
      </c>
      <c r="Y129" s="3">
        <f>Data!F161</f>
        <v>-19</v>
      </c>
      <c r="Z129" s="3">
        <f>Data!G161</f>
        <v>-6</v>
      </c>
      <c r="AA129" s="3">
        <f>Data!H161</f>
        <v>-35</v>
      </c>
      <c r="AB129" s="3">
        <f>Data!I161</f>
        <v>15</v>
      </c>
      <c r="AC129" s="3">
        <f>Data!J161</f>
        <v>-66</v>
      </c>
      <c r="AD129" s="3">
        <f>Data!K161</f>
        <v>82</v>
      </c>
      <c r="AE129" s="3">
        <f>Data!L161</f>
        <v>52</v>
      </c>
      <c r="AF129" s="3">
        <f>Data!M161</f>
        <v>-91</v>
      </c>
      <c r="AH129" s="4"/>
      <c r="AI129" s="3">
        <f>Data!P161</f>
        <v>-98</v>
      </c>
      <c r="AJ129" s="19"/>
      <c r="AK129" s="121"/>
      <c r="AL129" s="121"/>
      <c r="AM129" s="121"/>
      <c r="AN129" s="121"/>
      <c r="AO129" s="121"/>
      <c r="AP129" s="121"/>
      <c r="AQ129" s="121"/>
      <c r="AR129" s="121"/>
      <c r="AS129" s="121"/>
      <c r="AT129" s="121"/>
      <c r="AU129" s="121"/>
      <c r="AV129" s="121"/>
      <c r="AW129" s="121"/>
      <c r="AX129" s="121"/>
      <c r="AY129" s="121"/>
      <c r="AZ129" s="121"/>
      <c r="BA129" s="19"/>
      <c r="BB129" s="19"/>
      <c r="BC129" s="19"/>
      <c r="BD129" s="33"/>
      <c r="BE129" s="33"/>
      <c r="BF129" s="19"/>
      <c r="BG129" s="180"/>
    </row>
    <row r="130" spans="1:59" s="128" customFormat="1" x14ac:dyDescent="0.2">
      <c r="A130" s="190" t="s">
        <v>220</v>
      </c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6"/>
      <c r="W130" s="16"/>
      <c r="X130" s="16"/>
      <c r="Y130" s="16"/>
      <c r="Z130" s="31">
        <f>Data!D173</f>
        <v>-80</v>
      </c>
      <c r="AA130" s="31">
        <f>Data!E173</f>
        <v>-50</v>
      </c>
      <c r="AB130" s="31">
        <f>Data!F173</f>
        <v>-81</v>
      </c>
      <c r="AC130" s="31">
        <f>Data!G173</f>
        <v>28</v>
      </c>
      <c r="AD130" s="31">
        <f>Data!H173</f>
        <v>80</v>
      </c>
      <c r="AE130" s="31">
        <f>Data!I173</f>
        <v>-10</v>
      </c>
      <c r="AF130" s="31">
        <f>Data!J173</f>
        <v>55</v>
      </c>
      <c r="AG130" s="31">
        <f>Data!K173</f>
        <v>23</v>
      </c>
      <c r="AH130" s="16"/>
      <c r="AI130" s="43">
        <f>Data!M173</f>
        <v>200</v>
      </c>
      <c r="AJ130" s="16"/>
      <c r="AK130" s="116"/>
      <c r="AL130" s="116"/>
      <c r="AM130" s="116"/>
      <c r="AN130" s="116"/>
      <c r="AO130" s="116"/>
      <c r="AP130" s="116"/>
      <c r="AQ130" s="116"/>
      <c r="AR130" s="116"/>
      <c r="AS130" s="116"/>
      <c r="AT130" s="116"/>
      <c r="AU130" s="116"/>
      <c r="AV130" s="116"/>
      <c r="AW130" s="116"/>
      <c r="AX130" s="116"/>
      <c r="AY130" s="116"/>
      <c r="AZ130" s="116"/>
      <c r="BA130" s="16"/>
      <c r="BB130" s="16"/>
      <c r="BC130" s="16"/>
      <c r="BD130" s="16"/>
      <c r="BE130" s="16"/>
      <c r="BF130" s="16"/>
      <c r="BG130" s="180"/>
    </row>
    <row r="131" spans="1:59" s="128" customFormat="1" x14ac:dyDescent="0.2">
      <c r="A131" s="191"/>
      <c r="B131" s="129"/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9"/>
      <c r="W131" s="19"/>
      <c r="X131" s="19"/>
      <c r="Y131" s="19"/>
      <c r="Z131" s="4"/>
      <c r="AA131" s="4"/>
      <c r="AB131" s="3">
        <f>Data!F174</f>
        <v>93</v>
      </c>
      <c r="AC131" s="3">
        <f>Data!G174</f>
        <v>-7</v>
      </c>
      <c r="AD131" s="3">
        <f>Data!H174</f>
        <v>-20</v>
      </c>
      <c r="AE131" s="8">
        <f>Data!I174</f>
        <v>122</v>
      </c>
      <c r="AF131" s="3">
        <f>Data!J174</f>
        <v>-61</v>
      </c>
      <c r="AG131" s="3">
        <f>Data!K174</f>
        <v>-52</v>
      </c>
      <c r="AH131" s="3">
        <f>Data!L174</f>
        <v>22</v>
      </c>
      <c r="AI131" s="3">
        <f>Data!M174</f>
        <v>-59</v>
      </c>
      <c r="AJ131" s="19"/>
      <c r="AK131" s="129"/>
      <c r="AL131" s="129"/>
      <c r="AM131" s="129"/>
      <c r="AN131" s="129"/>
      <c r="AO131" s="129"/>
      <c r="AP131" s="129"/>
      <c r="AQ131" s="129"/>
      <c r="AR131" s="129"/>
      <c r="AS131" s="129"/>
      <c r="AT131" s="129"/>
      <c r="AU131" s="129"/>
      <c r="AV131" s="129"/>
      <c r="AW131" s="129"/>
      <c r="AX131" s="129"/>
      <c r="AY131" s="129"/>
      <c r="AZ131" s="129"/>
      <c r="BA131" s="19"/>
      <c r="BB131" s="19"/>
      <c r="BC131" s="19"/>
      <c r="BD131" s="19"/>
      <c r="BE131" s="19"/>
      <c r="BF131" s="19"/>
      <c r="BG131" s="180"/>
    </row>
    <row r="132" spans="1:59" s="128" customFormat="1" x14ac:dyDescent="0.2">
      <c r="A132" s="191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9"/>
      <c r="W132" s="19"/>
      <c r="X132" s="19"/>
      <c r="Y132" s="19"/>
      <c r="Z132" s="4"/>
      <c r="AA132" s="3">
        <f>Data!E175</f>
        <v>-6</v>
      </c>
      <c r="AB132" s="3">
        <f>Data!F175</f>
        <v>30</v>
      </c>
      <c r="AC132" s="3">
        <f>Data!G175</f>
        <v>-31</v>
      </c>
      <c r="AD132" s="3">
        <f>Data!H175</f>
        <v>153</v>
      </c>
      <c r="AE132" s="3">
        <f>Data!I175</f>
        <v>-58</v>
      </c>
      <c r="AF132" s="3">
        <f>Data!J175</f>
        <v>64</v>
      </c>
      <c r="AG132" s="8">
        <f>Data!K175</f>
        <v>276</v>
      </c>
      <c r="AH132" s="7">
        <f>Data!L175</f>
        <v>196</v>
      </c>
      <c r="AI132" s="7">
        <f>Data!M175</f>
        <v>219</v>
      </c>
      <c r="AJ132" s="19"/>
      <c r="AK132" s="129"/>
      <c r="AL132" s="129"/>
      <c r="AM132" s="129"/>
      <c r="AN132" s="129"/>
      <c r="AO132" s="129"/>
      <c r="AP132" s="129"/>
      <c r="AQ132" s="129"/>
      <c r="AR132" s="129"/>
      <c r="AS132" s="129"/>
      <c r="AT132" s="129"/>
      <c r="AU132" s="129"/>
      <c r="AV132" s="129"/>
      <c r="AW132" s="129"/>
      <c r="AX132" s="129"/>
      <c r="AY132" s="129"/>
      <c r="AZ132" s="129"/>
      <c r="BA132" s="19"/>
      <c r="BB132" s="19"/>
      <c r="BC132" s="19"/>
      <c r="BD132" s="19"/>
      <c r="BE132" s="19"/>
      <c r="BF132" s="19"/>
      <c r="BG132" s="180"/>
    </row>
    <row r="133" spans="1:59" s="128" customFormat="1" x14ac:dyDescent="0.2">
      <c r="A133" s="192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3"/>
      <c r="W133" s="33"/>
      <c r="X133" s="33"/>
      <c r="Y133" s="33"/>
      <c r="Z133" s="4"/>
      <c r="AA133" s="3">
        <f>Data!E176</f>
        <v>-99</v>
      </c>
      <c r="AB133" s="3">
        <f>Data!F176</f>
        <v>44</v>
      </c>
      <c r="AC133" s="3">
        <f>Data!G176</f>
        <v>34</v>
      </c>
      <c r="AD133" s="3">
        <f>Data!H176</f>
        <v>-36</v>
      </c>
      <c r="AE133" s="6">
        <f>Data!I176</f>
        <v>451</v>
      </c>
      <c r="AF133" s="6">
        <f>Data!J176</f>
        <v>459</v>
      </c>
      <c r="AG133" s="3">
        <f>Data!K176</f>
        <v>-26</v>
      </c>
      <c r="AH133" s="3">
        <f>Data!L176</f>
        <v>-99</v>
      </c>
      <c r="AI133" s="3">
        <f>Data!M176</f>
        <v>86</v>
      </c>
      <c r="AJ133" s="19"/>
      <c r="AK133" s="129"/>
      <c r="AL133" s="129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3"/>
      <c r="BB133" s="33"/>
      <c r="BC133" s="33"/>
      <c r="BD133" s="33"/>
      <c r="BE133" s="33"/>
      <c r="BF133" s="19"/>
      <c r="BG133" s="180"/>
    </row>
    <row r="134" spans="1:59" s="128" customFormat="1" x14ac:dyDescent="0.2">
      <c r="A134" s="190" t="s">
        <v>122</v>
      </c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6"/>
      <c r="W134" s="16"/>
      <c r="X134" s="16"/>
      <c r="Y134" s="16"/>
      <c r="Z134" s="16"/>
      <c r="AA134" s="16"/>
      <c r="AB134" s="31">
        <f>Data!E168</f>
        <v>0</v>
      </c>
      <c r="AC134" s="44">
        <f>Data!F168</f>
        <v>156</v>
      </c>
      <c r="AD134" s="44">
        <f>Data!G168</f>
        <v>136</v>
      </c>
      <c r="AE134" s="16"/>
      <c r="AF134" s="16"/>
      <c r="AG134" s="17">
        <f>Data!J168</f>
        <v>497</v>
      </c>
      <c r="AH134" s="18">
        <f>Data!K168</f>
        <v>317</v>
      </c>
      <c r="AI134" s="44">
        <f>Data!L168</f>
        <v>154</v>
      </c>
      <c r="AJ134" s="31">
        <f>Data!M168</f>
        <v>-98</v>
      </c>
      <c r="AK134" s="31">
        <f>Data!N168</f>
        <v>-40</v>
      </c>
      <c r="AL134" s="116"/>
      <c r="AM134" s="116"/>
      <c r="AN134" s="116"/>
      <c r="AO134" s="116"/>
      <c r="AP134" s="116"/>
      <c r="AQ134" s="116"/>
      <c r="AR134" s="116"/>
      <c r="AS134" s="116"/>
      <c r="AT134" s="116"/>
      <c r="AU134" s="116"/>
      <c r="AV134" s="116"/>
      <c r="AW134" s="116"/>
      <c r="AX134" s="116"/>
      <c r="AY134" s="116"/>
      <c r="AZ134" s="116"/>
      <c r="BA134" s="16"/>
      <c r="BB134" s="16"/>
      <c r="BC134" s="16"/>
      <c r="BD134" s="16"/>
      <c r="BE134" s="16"/>
      <c r="BF134" s="16"/>
      <c r="BG134" s="180"/>
    </row>
    <row r="135" spans="1:59" s="128" customFormat="1" x14ac:dyDescent="0.2">
      <c r="A135" s="191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9"/>
      <c r="W135" s="19"/>
      <c r="X135" s="19"/>
      <c r="Y135" s="19"/>
      <c r="Z135" s="19"/>
      <c r="AA135" s="3">
        <f>Data!D169</f>
        <v>-98</v>
      </c>
      <c r="AB135" s="3">
        <f>Data!E169</f>
        <v>-10</v>
      </c>
      <c r="AC135" s="8">
        <f>Data!F169</f>
        <v>237</v>
      </c>
      <c r="AD135" s="6">
        <f>Data!G169</f>
        <v>426</v>
      </c>
      <c r="AE135" s="5">
        <f>Data!H169</f>
        <v>141</v>
      </c>
      <c r="AF135" s="3">
        <f>Data!I169</f>
        <v>-18</v>
      </c>
      <c r="AG135" s="3">
        <f>Data!J169</f>
        <v>19</v>
      </c>
      <c r="AH135" s="5">
        <f>Data!K169</f>
        <v>209</v>
      </c>
      <c r="AI135" s="5">
        <f>Data!L169</f>
        <v>58</v>
      </c>
      <c r="AJ135" s="3">
        <f>Data!M169</f>
        <v>-51</v>
      </c>
      <c r="AK135" s="3">
        <f>Data!N169</f>
        <v>-73</v>
      </c>
      <c r="AL135" s="129"/>
      <c r="AM135" s="129"/>
      <c r="AN135" s="129"/>
      <c r="AO135" s="129"/>
      <c r="AP135" s="129"/>
      <c r="AQ135" s="129"/>
      <c r="AR135" s="129"/>
      <c r="AS135" s="129"/>
      <c r="AT135" s="129"/>
      <c r="AU135" s="129"/>
      <c r="AV135" s="129"/>
      <c r="AW135" s="129"/>
      <c r="AX135" s="129"/>
      <c r="AY135" s="129"/>
      <c r="AZ135" s="129"/>
      <c r="BA135" s="19"/>
      <c r="BB135" s="19"/>
      <c r="BC135" s="19"/>
      <c r="BD135" s="19"/>
      <c r="BE135" s="19"/>
      <c r="BF135" s="19"/>
      <c r="BG135" s="180"/>
    </row>
    <row r="136" spans="1:59" s="128" customFormat="1" x14ac:dyDescent="0.2">
      <c r="A136" s="191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9"/>
      <c r="W136" s="19"/>
      <c r="X136" s="19"/>
      <c r="Y136" s="19"/>
      <c r="Z136" s="19"/>
      <c r="AA136" s="4"/>
      <c r="AB136" s="3">
        <f>Data!E170</f>
        <v>14</v>
      </c>
      <c r="AC136" s="5">
        <f>Data!F170</f>
        <v>198</v>
      </c>
      <c r="AD136" s="3">
        <f>Data!G170</f>
        <v>-62</v>
      </c>
      <c r="AE136" s="3">
        <f>Data!H170</f>
        <v>30</v>
      </c>
      <c r="AF136" s="3">
        <f>Data!I170</f>
        <v>-28</v>
      </c>
      <c r="AG136" s="3">
        <f>Data!J170</f>
        <v>9</v>
      </c>
      <c r="AH136" s="3">
        <f>Data!K170</f>
        <v>8</v>
      </c>
      <c r="AI136" s="3">
        <f>Data!L170</f>
        <v>-47</v>
      </c>
      <c r="AJ136" s="3">
        <f>Data!M170</f>
        <v>21</v>
      </c>
      <c r="AK136" s="3">
        <f>Data!N170</f>
        <v>-67</v>
      </c>
      <c r="AL136" s="129"/>
      <c r="AM136" s="129"/>
      <c r="AN136" s="129"/>
      <c r="AO136" s="129"/>
      <c r="AP136" s="129"/>
      <c r="AQ136" s="129"/>
      <c r="AR136" s="129"/>
      <c r="AS136" s="129"/>
      <c r="AT136" s="129"/>
      <c r="AU136" s="129"/>
      <c r="AV136" s="129"/>
      <c r="AW136" s="129"/>
      <c r="AX136" s="129"/>
      <c r="AY136" s="129"/>
      <c r="AZ136" s="129"/>
      <c r="BA136" s="19"/>
      <c r="BB136" s="19"/>
      <c r="BC136" s="19"/>
      <c r="BD136" s="19"/>
      <c r="BE136" s="19"/>
      <c r="BF136" s="19"/>
      <c r="BG136" s="180"/>
    </row>
    <row r="137" spans="1:59" s="128" customFormat="1" x14ac:dyDescent="0.2">
      <c r="A137" s="192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3"/>
      <c r="W137" s="33"/>
      <c r="X137" s="33"/>
      <c r="Y137" s="33"/>
      <c r="Z137" s="33"/>
      <c r="AA137" s="4"/>
      <c r="AB137" s="3">
        <f>Data!E171</f>
        <v>181</v>
      </c>
      <c r="AC137" s="3">
        <f>Data!F171</f>
        <v>-40</v>
      </c>
      <c r="AD137" s="4"/>
      <c r="AE137" s="3">
        <f>Data!H171</f>
        <v>-30</v>
      </c>
      <c r="AF137" s="3">
        <f>Data!I171</f>
        <v>131</v>
      </c>
      <c r="AG137" s="8">
        <f>Data!J171</f>
        <v>276</v>
      </c>
      <c r="AH137" s="3">
        <f>Data!K171</f>
        <v>-18</v>
      </c>
      <c r="AI137" s="8">
        <f>Data!L171</f>
        <v>237</v>
      </c>
      <c r="AJ137" s="3">
        <f>Data!M171</f>
        <v>-1</v>
      </c>
      <c r="AK137" s="3">
        <f>Data!N171</f>
        <v>28</v>
      </c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3"/>
      <c r="BB137" s="33"/>
      <c r="BC137" s="33"/>
      <c r="BD137" s="33"/>
      <c r="BE137" s="33"/>
      <c r="BF137" s="19"/>
      <c r="BG137" s="180"/>
    </row>
    <row r="138" spans="1:59" s="4" customFormat="1" x14ac:dyDescent="0.2">
      <c r="A138" s="190" t="s">
        <v>113</v>
      </c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6"/>
      <c r="W138" s="16"/>
      <c r="X138" s="16"/>
      <c r="Y138" s="16"/>
      <c r="Z138" s="16"/>
      <c r="AA138" s="16"/>
      <c r="AB138" s="16"/>
      <c r="AC138" s="16"/>
      <c r="AD138" s="16"/>
      <c r="AE138" s="31">
        <f>Data!E78</f>
        <v>-40</v>
      </c>
      <c r="AF138" s="31">
        <f>Data!F78</f>
        <v>-78</v>
      </c>
      <c r="AG138" s="31">
        <f>Data!G78</f>
        <v>-46</v>
      </c>
      <c r="AH138" s="31">
        <f>Data!H78</f>
        <v>-91</v>
      </c>
      <c r="AI138" s="31">
        <f>Data!I78</f>
        <v>-3</v>
      </c>
      <c r="AJ138" s="31">
        <f>Data!J78</f>
        <v>-49</v>
      </c>
      <c r="AK138" s="31">
        <f>Data!K78</f>
        <v>-68</v>
      </c>
      <c r="AL138" s="31">
        <f>Data!L78</f>
        <v>57</v>
      </c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72"/>
    </row>
    <row r="139" spans="1:59" s="4" customFormat="1" x14ac:dyDescent="0.2">
      <c r="A139" s="191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9"/>
      <c r="W139" s="19"/>
      <c r="X139" s="19"/>
      <c r="Y139" s="19"/>
      <c r="Z139" s="19"/>
      <c r="AA139" s="19"/>
      <c r="AB139" s="19"/>
      <c r="AC139" s="19"/>
      <c r="AD139" s="20">
        <f>Data!D79</f>
        <v>-10</v>
      </c>
      <c r="AE139" s="23">
        <f>Data!E79</f>
        <v>511</v>
      </c>
      <c r="AF139" s="20">
        <f>Data!F79</f>
        <v>-98</v>
      </c>
      <c r="AG139" s="22">
        <f>Data!G79</f>
        <v>26</v>
      </c>
      <c r="AH139" s="23">
        <f>Data!H79</f>
        <v>531</v>
      </c>
      <c r="AI139" s="23">
        <f>Data!I79</f>
        <v>429</v>
      </c>
      <c r="AJ139" s="20">
        <f>Data!J79</f>
        <v>90</v>
      </c>
      <c r="AK139" s="20">
        <f>Data!K79</f>
        <v>61</v>
      </c>
      <c r="AL139" s="22">
        <f>Data!L79</f>
        <v>180</v>
      </c>
      <c r="AM139" s="20">
        <f>Data!M79</f>
        <v>-99</v>
      </c>
      <c r="AN139" s="19"/>
      <c r="AO139" s="19"/>
      <c r="AP139" s="20">
        <f>Data!P79</f>
        <v>-18</v>
      </c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72"/>
    </row>
    <row r="140" spans="1:59" s="4" customFormat="1" x14ac:dyDescent="0.2">
      <c r="A140" s="191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9"/>
      <c r="W140" s="19"/>
      <c r="X140" s="19"/>
      <c r="Y140" s="19"/>
      <c r="Z140" s="19"/>
      <c r="AA140" s="19"/>
      <c r="AB140" s="19"/>
      <c r="AC140" s="19"/>
      <c r="AD140" s="19"/>
      <c r="AE140" s="20">
        <f>Data!E80</f>
        <v>-99</v>
      </c>
      <c r="AF140" s="20">
        <f>Data!F80</f>
        <v>-43</v>
      </c>
      <c r="AG140" s="22">
        <f>Data!G80</f>
        <v>52</v>
      </c>
      <c r="AH140" s="20">
        <f>Data!H80</f>
        <v>-44</v>
      </c>
      <c r="AI140" s="19"/>
      <c r="AJ140" s="19"/>
      <c r="AK140" s="20">
        <f>Data!K80</f>
        <v>-88</v>
      </c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72"/>
    </row>
    <row r="141" spans="1:59" s="4" customFormat="1" x14ac:dyDescent="0.2">
      <c r="A141" s="192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3"/>
      <c r="W141" s="33"/>
      <c r="X141" s="33"/>
      <c r="Y141" s="33"/>
      <c r="Z141" s="33"/>
      <c r="AA141" s="33"/>
      <c r="AB141" s="33"/>
      <c r="AC141" s="33"/>
      <c r="AD141" s="33"/>
      <c r="AE141" s="25">
        <f>Data!E81</f>
        <v>37</v>
      </c>
      <c r="AF141" s="25">
        <f>Data!F81</f>
        <v>-98</v>
      </c>
      <c r="AG141" s="26">
        <f>Data!G81</f>
        <v>152</v>
      </c>
      <c r="AH141" s="25">
        <f>Data!H81</f>
        <v>-99</v>
      </c>
      <c r="AI141" s="26">
        <f>Data!I81</f>
        <v>129</v>
      </c>
      <c r="AJ141" s="25">
        <f>Data!J81</f>
        <v>155</v>
      </c>
      <c r="AK141" s="25">
        <f>Data!K81</f>
        <v>-99</v>
      </c>
      <c r="AL141" s="25">
        <f>Data!L81</f>
        <v>-99</v>
      </c>
      <c r="AM141" s="25">
        <f>Data!M81</f>
        <v>16</v>
      </c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19"/>
      <c r="BG141" s="72"/>
    </row>
    <row r="142" spans="1:59" s="4" customFormat="1" x14ac:dyDescent="0.2">
      <c r="A142" s="190" t="s">
        <v>116</v>
      </c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6"/>
      <c r="W142" s="16"/>
      <c r="X142" s="16"/>
      <c r="Y142" s="16"/>
      <c r="Z142" s="16"/>
      <c r="AA142" s="16"/>
      <c r="AB142" s="16"/>
      <c r="AC142" s="16"/>
      <c r="AD142" s="16"/>
      <c r="AE142" s="31">
        <f>Data!D118</f>
        <v>-64</v>
      </c>
      <c r="AF142" s="31">
        <f>Data!E118</f>
        <v>-54</v>
      </c>
      <c r="AG142" s="31">
        <f>Data!F118</f>
        <v>52</v>
      </c>
      <c r="AH142" s="31">
        <f>Data!G118</f>
        <v>76</v>
      </c>
      <c r="AI142" s="31">
        <f>Data!H118</f>
        <v>97</v>
      </c>
      <c r="AJ142" s="31">
        <f>Data!I118</f>
        <v>-39</v>
      </c>
      <c r="AK142" s="31">
        <f>Data!J118</f>
        <v>15</v>
      </c>
      <c r="AL142" s="31">
        <f>Data!K118</f>
        <v>115</v>
      </c>
      <c r="AM142" s="18">
        <f>Data!L118</f>
        <v>341</v>
      </c>
      <c r="AN142" s="31">
        <f>Data!M118</f>
        <v>-9</v>
      </c>
      <c r="AO142" s="31">
        <f>Data!N118</f>
        <v>3</v>
      </c>
      <c r="AP142" s="31">
        <f>Data!O118</f>
        <v>100</v>
      </c>
      <c r="AQ142" s="31">
        <f>Data!P118</f>
        <v>-13</v>
      </c>
      <c r="AR142" s="31">
        <f>Data!Q118</f>
        <v>70</v>
      </c>
      <c r="AS142" s="31">
        <f>Data!R118</f>
        <v>-27</v>
      </c>
      <c r="AT142" s="31">
        <f>Data!S118</f>
        <v>178</v>
      </c>
      <c r="AU142" s="31">
        <f>Data!T118</f>
        <v>-8</v>
      </c>
      <c r="AV142" s="31">
        <f>Data!U118</f>
        <v>-24</v>
      </c>
      <c r="AW142" s="31">
        <f>Data!V118</f>
        <v>-40</v>
      </c>
      <c r="AX142" s="31">
        <f>Data!W118</f>
        <v>-7</v>
      </c>
      <c r="AY142" s="16"/>
      <c r="AZ142" s="16"/>
      <c r="BA142" s="16"/>
      <c r="BB142" s="16"/>
      <c r="BC142" s="16"/>
      <c r="BD142" s="16"/>
      <c r="BE142" s="16"/>
      <c r="BF142" s="16"/>
      <c r="BG142" s="72"/>
    </row>
    <row r="143" spans="1:59" s="4" customFormat="1" x14ac:dyDescent="0.2">
      <c r="A143" s="191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20">
        <f>Data!F119</f>
        <v>-84</v>
      </c>
      <c r="AH143" s="20">
        <f>Data!G119</f>
        <v>31</v>
      </c>
      <c r="AI143" s="22">
        <f>Data!H119</f>
        <v>78</v>
      </c>
      <c r="AJ143" s="20">
        <f>Data!I119</f>
        <v>73</v>
      </c>
      <c r="AK143" s="20">
        <f>Data!J119</f>
        <v>63</v>
      </c>
      <c r="AL143" s="22">
        <f>Data!K119</f>
        <v>143</v>
      </c>
      <c r="AM143" s="19"/>
      <c r="AN143" s="20">
        <f>Data!M119</f>
        <v>79</v>
      </c>
      <c r="AO143" s="20">
        <f>Data!N119</f>
        <v>150</v>
      </c>
      <c r="AP143" s="20">
        <f>Data!O119</f>
        <v>113</v>
      </c>
      <c r="AQ143" s="20">
        <f>Data!P119</f>
        <v>85</v>
      </c>
      <c r="AR143" s="20">
        <f>Data!Q119</f>
        <v>80</v>
      </c>
      <c r="AS143" s="19"/>
      <c r="AT143" s="20">
        <f>Data!S119</f>
        <v>-99</v>
      </c>
      <c r="AU143" s="20">
        <f>Data!T119</f>
        <v>-15</v>
      </c>
      <c r="AV143" s="20">
        <f>Data!U119</f>
        <v>-47</v>
      </c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72"/>
    </row>
    <row r="144" spans="1:59" s="4" customFormat="1" x14ac:dyDescent="0.2">
      <c r="A144" s="191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20">
        <f>Data!F120</f>
        <v>-26</v>
      </c>
      <c r="AH144" s="20">
        <f>Data!G120</f>
        <v>-56</v>
      </c>
      <c r="AI144" s="20">
        <f>Data!H120</f>
        <v>24</v>
      </c>
      <c r="AJ144" s="23">
        <f>Data!I120</f>
        <v>398</v>
      </c>
      <c r="AK144" s="20">
        <f>Data!J120</f>
        <v>-99</v>
      </c>
      <c r="AL144" s="22">
        <f>Data!K120</f>
        <v>214</v>
      </c>
      <c r="AM144" s="21">
        <f>Data!L120</f>
        <v>257</v>
      </c>
      <c r="AN144" s="22">
        <f>Data!M120</f>
        <v>188</v>
      </c>
      <c r="AO144" s="20">
        <f>Data!N120</f>
        <v>110</v>
      </c>
      <c r="AP144" s="20">
        <f>Data!O120</f>
        <v>120</v>
      </c>
      <c r="AQ144" s="22">
        <f>Data!P120</f>
        <v>222</v>
      </c>
      <c r="AR144" s="20">
        <f>Data!Q120</f>
        <v>100</v>
      </c>
      <c r="AS144" s="20">
        <f>Data!R120</f>
        <v>43</v>
      </c>
      <c r="AT144" s="20">
        <f>Data!S120</f>
        <v>-5</v>
      </c>
      <c r="AU144" s="20">
        <f>Data!T120</f>
        <v>-10</v>
      </c>
      <c r="AV144" s="20">
        <f>Data!U120</f>
        <v>-14</v>
      </c>
      <c r="AW144" s="20">
        <f>Data!V120</f>
        <v>-92</v>
      </c>
      <c r="AX144" s="19"/>
      <c r="AY144" s="19"/>
      <c r="AZ144" s="19"/>
      <c r="BA144" s="19"/>
      <c r="BB144" s="19"/>
      <c r="BC144" s="19"/>
      <c r="BD144" s="19"/>
      <c r="BE144" s="19"/>
      <c r="BF144" s="19"/>
      <c r="BG144" s="72"/>
    </row>
    <row r="145" spans="1:59" s="4" customFormat="1" x14ac:dyDescent="0.2">
      <c r="A145" s="192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25">
        <f>Data!F121</f>
        <v>40</v>
      </c>
      <c r="AH145" s="29">
        <f>Data!G121</f>
        <v>291</v>
      </c>
      <c r="AI145" s="27">
        <f>Data!H121</f>
        <v>498</v>
      </c>
      <c r="AJ145" s="29">
        <f>Data!I121</f>
        <v>257</v>
      </c>
      <c r="AK145" s="26">
        <f>Data!J121</f>
        <v>187</v>
      </c>
      <c r="AL145" s="28">
        <f>Data!K121</f>
        <v>314</v>
      </c>
      <c r="AM145" s="29">
        <f>Data!L121</f>
        <v>279</v>
      </c>
      <c r="AN145" s="26">
        <f>Data!M121</f>
        <v>185</v>
      </c>
      <c r="AO145" s="25">
        <f>Data!N121</f>
        <v>-29</v>
      </c>
      <c r="AP145" s="33"/>
      <c r="AQ145" s="25">
        <f>Data!P121</f>
        <v>1</v>
      </c>
      <c r="AR145" s="25">
        <f>Data!Q121</f>
        <v>-99</v>
      </c>
      <c r="AS145" s="33"/>
      <c r="AT145" s="25">
        <f>Data!S121</f>
        <v>53</v>
      </c>
      <c r="AU145" s="25">
        <f>Data!T121</f>
        <v>75</v>
      </c>
      <c r="AV145" s="25">
        <f>Data!U121</f>
        <v>-6</v>
      </c>
      <c r="AW145" s="25">
        <f>Data!V121</f>
        <v>-23</v>
      </c>
      <c r="AX145" s="33"/>
      <c r="AY145" s="33"/>
      <c r="AZ145" s="33"/>
      <c r="BA145" s="33"/>
      <c r="BB145" s="33"/>
      <c r="BC145" s="33"/>
      <c r="BD145" s="33"/>
      <c r="BE145" s="33"/>
      <c r="BF145" s="19"/>
      <c r="BG145" s="72"/>
    </row>
    <row r="146" spans="1:59" s="4" customFormat="1" x14ac:dyDescent="0.2">
      <c r="A146" s="190" t="s">
        <v>123</v>
      </c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G146" s="3">
        <f>Data!E163</f>
        <v>90</v>
      </c>
      <c r="AH146" s="3">
        <f>Data!F163</f>
        <v>-99</v>
      </c>
      <c r="AI146" s="3">
        <f>Data!G163</f>
        <v>92</v>
      </c>
      <c r="AJ146" s="7">
        <f>Data!H163</f>
        <v>323</v>
      </c>
      <c r="AK146" s="3">
        <f>Data!I163</f>
        <v>47</v>
      </c>
      <c r="AL146" s="7">
        <f>Data!J163</f>
        <v>367</v>
      </c>
      <c r="AM146" s="6">
        <f>Data!K163</f>
        <v>451</v>
      </c>
      <c r="AO146" s="3">
        <f>Data!M163</f>
        <v>38</v>
      </c>
      <c r="AP146" s="3">
        <f>Data!N163</f>
        <v>24</v>
      </c>
      <c r="AQ146" s="3">
        <f>Data!O163</f>
        <v>62</v>
      </c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6"/>
      <c r="BE146" s="16"/>
      <c r="BF146" s="16"/>
      <c r="BG146" s="72"/>
    </row>
    <row r="147" spans="1:59" s="4" customFormat="1" x14ac:dyDescent="0.2">
      <c r="A147" s="191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  <c r="S147" s="129"/>
      <c r="T147" s="129"/>
      <c r="U147" s="12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3">
        <f>Data!D164</f>
        <v>178</v>
      </c>
      <c r="AG147" s="3">
        <f>Data!E164</f>
        <v>69</v>
      </c>
      <c r="AH147" s="5">
        <f>Data!F164</f>
        <v>254</v>
      </c>
      <c r="AI147" s="3">
        <f>Data!G164</f>
        <v>29</v>
      </c>
      <c r="AJ147" s="8">
        <f>Data!H164</f>
        <v>206</v>
      </c>
      <c r="AL147" s="3">
        <f>Data!J164</f>
        <v>58</v>
      </c>
      <c r="AM147" s="3">
        <f>Data!K164</f>
        <v>68</v>
      </c>
      <c r="AN147" s="3">
        <f>Data!L164</f>
        <v>-81</v>
      </c>
      <c r="AO147" s="3">
        <f>Data!M164</f>
        <v>21</v>
      </c>
      <c r="AP147" s="3">
        <f>Data!N164</f>
        <v>-3</v>
      </c>
      <c r="AQ147" s="3">
        <f>Data!O164</f>
        <v>-98</v>
      </c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72"/>
    </row>
    <row r="148" spans="1:59" s="4" customFormat="1" x14ac:dyDescent="0.2">
      <c r="A148" s="191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3">
        <f>Data!D165</f>
        <v>-97</v>
      </c>
      <c r="AH148" s="3">
        <f>Data!F165</f>
        <v>-60</v>
      </c>
      <c r="AI148" s="5">
        <f>Data!G165</f>
        <v>54</v>
      </c>
      <c r="AJ148" s="3">
        <f>Data!H165</f>
        <v>-78</v>
      </c>
      <c r="AL148" s="3">
        <f>Data!J165</f>
        <v>-70</v>
      </c>
      <c r="AM148" s="3">
        <f>Data!K165</f>
        <v>30</v>
      </c>
      <c r="AN148" s="3">
        <f>Data!L165</f>
        <v>50</v>
      </c>
      <c r="AO148" s="3">
        <f>Data!M165</f>
        <v>1</v>
      </c>
      <c r="AP148" s="8">
        <f>Data!N165</f>
        <v>357</v>
      </c>
      <c r="AQ148" s="3">
        <f>Data!O165</f>
        <v>-99</v>
      </c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72"/>
    </row>
    <row r="149" spans="1:59" s="4" customFormat="1" x14ac:dyDescent="0.2">
      <c r="A149" s="191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3">
        <f>Data!D166</f>
        <v>153</v>
      </c>
      <c r="AG149" s="3">
        <f>Data!E166</f>
        <v>-58</v>
      </c>
      <c r="AH149" s="6">
        <f>Data!F166</f>
        <v>462</v>
      </c>
      <c r="AI149" s="8">
        <f>Data!G166</f>
        <v>221</v>
      </c>
      <c r="AJ149" s="3">
        <f>Data!H166</f>
        <v>-10</v>
      </c>
      <c r="AL149" s="3">
        <f>Data!J166</f>
        <v>-40</v>
      </c>
      <c r="AN149" s="3">
        <f>Data!L166</f>
        <v>171</v>
      </c>
      <c r="AO149" s="3">
        <f>Data!M166</f>
        <v>-18</v>
      </c>
      <c r="AP149" s="3">
        <f>Data!N166</f>
        <v>-14</v>
      </c>
      <c r="AQ149" s="3">
        <f>Data!O166</f>
        <v>-38</v>
      </c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72"/>
    </row>
    <row r="150" spans="1:59" s="4" customFormat="1" x14ac:dyDescent="0.2">
      <c r="A150" s="190" t="s">
        <v>184</v>
      </c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16"/>
      <c r="AH150" s="31">
        <f>Data!E188</f>
        <v>-99</v>
      </c>
      <c r="AI150" s="31">
        <f>Data!F188</f>
        <v>-1</v>
      </c>
      <c r="AJ150" s="31">
        <f>Data!G188</f>
        <v>63</v>
      </c>
      <c r="AK150" s="31">
        <f>Data!H188</f>
        <v>-41</v>
      </c>
      <c r="AL150" s="31">
        <f>Data!I188</f>
        <v>36</v>
      </c>
      <c r="AM150" s="31">
        <f>Data!J188</f>
        <v>44</v>
      </c>
      <c r="AN150" s="31">
        <f>Data!K188</f>
        <v>-63</v>
      </c>
      <c r="AO150" s="31">
        <f>Data!L188</f>
        <v>-99</v>
      </c>
      <c r="AP150" s="116"/>
      <c r="AQ150" s="1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72"/>
    </row>
    <row r="151" spans="1:59" s="4" customFormat="1" x14ac:dyDescent="0.2">
      <c r="A151" s="191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G151" s="20">
        <f>Data!D189</f>
        <v>2</v>
      </c>
      <c r="AH151" s="20">
        <f>Data!E189</f>
        <v>42</v>
      </c>
      <c r="AI151" s="20">
        <f>Data!F189</f>
        <v>-21</v>
      </c>
      <c r="AJ151" s="20">
        <f>Data!G189</f>
        <v>59</v>
      </c>
      <c r="AK151" s="20">
        <f>Data!H189</f>
        <v>58</v>
      </c>
      <c r="AL151" s="23">
        <f>Data!I189</f>
        <v>499</v>
      </c>
      <c r="AM151" s="20">
        <f>Data!J189</f>
        <v>3</v>
      </c>
      <c r="AN151" s="20">
        <f>Data!K189</f>
        <v>72</v>
      </c>
      <c r="AO151" s="20">
        <f>Data!L189</f>
        <v>45</v>
      </c>
      <c r="AP151" s="140"/>
      <c r="AQ151" s="20">
        <f>Data!N189</f>
        <v>-18</v>
      </c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72"/>
    </row>
    <row r="152" spans="1:59" s="4" customFormat="1" x14ac:dyDescent="0.2">
      <c r="A152" s="191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G152" s="20">
        <f>Data!D190</f>
        <v>-60</v>
      </c>
      <c r="AH152" s="20">
        <f>Data!E190</f>
        <v>-24</v>
      </c>
      <c r="AI152" s="20">
        <f>Data!F190</f>
        <v>-49</v>
      </c>
      <c r="AJ152" s="20">
        <f>Data!G190</f>
        <v>-60</v>
      </c>
      <c r="AK152" s="20">
        <f>Data!H190</f>
        <v>-45</v>
      </c>
      <c r="AL152" s="140"/>
      <c r="AM152" s="140"/>
      <c r="AN152" s="20">
        <f>Data!K190</f>
        <v>-98</v>
      </c>
      <c r="AO152" s="140"/>
      <c r="AP152" s="140"/>
      <c r="AQ152" s="140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72"/>
    </row>
    <row r="153" spans="1:59" s="4" customFormat="1" x14ac:dyDescent="0.2">
      <c r="A153" s="192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G153" s="25">
        <f>Data!D191</f>
        <v>-93</v>
      </c>
      <c r="AH153" s="25">
        <f>Data!E191</f>
        <v>-37</v>
      </c>
      <c r="AI153" s="25">
        <f>Data!F191</f>
        <v>-44</v>
      </c>
      <c r="AJ153" s="25">
        <f>Data!G191</f>
        <v>21</v>
      </c>
      <c r="AK153" s="25">
        <f>Data!H191</f>
        <v>-42</v>
      </c>
      <c r="AL153" s="25">
        <f>Data!I191</f>
        <v>-43</v>
      </c>
      <c r="AM153" s="25">
        <f>Data!J191</f>
        <v>-99</v>
      </c>
      <c r="AN153" s="25">
        <f>Data!K191</f>
        <v>-50</v>
      </c>
      <c r="AO153" s="30"/>
      <c r="AP153" s="30"/>
      <c r="AQ153" s="3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19"/>
      <c r="BG153" s="72"/>
    </row>
    <row r="154" spans="1:59" x14ac:dyDescent="0.2">
      <c r="A154" s="190" t="s">
        <v>0</v>
      </c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  <c r="AA154" s="116"/>
      <c r="AB154" s="116"/>
      <c r="AC154" s="116"/>
      <c r="AD154" s="116"/>
      <c r="AE154" s="116"/>
      <c r="AF154" s="116"/>
      <c r="AG154" s="116"/>
      <c r="AH154" s="31">
        <f>Data!E3</f>
        <v>9</v>
      </c>
      <c r="AI154" s="31">
        <f>Data!F3</f>
        <v>78</v>
      </c>
      <c r="AJ154" s="31">
        <f>Data!G3</f>
        <v>65</v>
      </c>
      <c r="AK154" s="31">
        <f>Data!H3</f>
        <v>32</v>
      </c>
      <c r="AL154" s="17">
        <f>Data!I3</f>
        <v>341</v>
      </c>
      <c r="AM154" s="43">
        <f>Data!J3</f>
        <v>174</v>
      </c>
      <c r="AN154" s="17">
        <f>Data!K3</f>
        <v>431</v>
      </c>
      <c r="AO154" s="17">
        <f>Data!L3</f>
        <v>556</v>
      </c>
      <c r="AP154" s="43">
        <f>Data!M3</f>
        <v>308</v>
      </c>
      <c r="AQ154" s="18">
        <f>Data!N3</f>
        <v>434</v>
      </c>
      <c r="AR154" s="17">
        <f>Data!O3</f>
        <v>592</v>
      </c>
      <c r="AS154" s="43">
        <f>Data!P3</f>
        <v>306</v>
      </c>
      <c r="AT154" s="43">
        <f>Data!Q3</f>
        <v>213</v>
      </c>
      <c r="AU154" s="43">
        <f>Data!R3</f>
        <v>368</v>
      </c>
      <c r="AV154" s="43">
        <f>Data!S3</f>
        <v>228</v>
      </c>
      <c r="AW154" s="31">
        <f>Data!T3</f>
        <v>59</v>
      </c>
      <c r="AX154" s="43">
        <f>Data!U3</f>
        <v>337</v>
      </c>
      <c r="AY154" s="17">
        <f>Data!V3</f>
        <v>474</v>
      </c>
      <c r="AZ154" s="17">
        <f>Data!W3</f>
        <v>452</v>
      </c>
      <c r="BA154" s="31">
        <f>Data!X3</f>
        <v>38</v>
      </c>
      <c r="BB154" s="43">
        <f>Data!Y3</f>
        <v>189</v>
      </c>
      <c r="BC154" s="16"/>
      <c r="BD154" s="16"/>
      <c r="BE154" s="16"/>
      <c r="BF154" s="16"/>
      <c r="BG154" s="180"/>
    </row>
    <row r="155" spans="1:59" x14ac:dyDescent="0.2">
      <c r="A155" s="191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  <c r="AA155" s="117"/>
      <c r="AB155" s="117"/>
      <c r="AC155" s="117"/>
      <c r="AD155" s="117"/>
      <c r="AE155" s="117"/>
      <c r="AF155" s="117"/>
      <c r="AG155" s="20">
        <f>Data!D4</f>
        <v>-3</v>
      </c>
      <c r="AH155" s="20">
        <f>Data!E4</f>
        <v>23</v>
      </c>
      <c r="AI155" s="22">
        <f>Data!F4</f>
        <v>51</v>
      </c>
      <c r="AJ155" s="20">
        <f>Data!G4</f>
        <v>-45</v>
      </c>
      <c r="AK155" s="20">
        <f>Data!H4</f>
        <v>-88</v>
      </c>
      <c r="AL155" s="20">
        <f>Data!I4</f>
        <v>39</v>
      </c>
      <c r="AM155" s="21">
        <f>Data!J4</f>
        <v>212</v>
      </c>
      <c r="AN155" s="24">
        <f>Data!K4</f>
        <v>363</v>
      </c>
      <c r="AO155" s="24">
        <f>Data!L4</f>
        <v>378</v>
      </c>
      <c r="AP155" s="24">
        <f>Data!M4</f>
        <v>344</v>
      </c>
      <c r="AQ155" s="23">
        <f>Data!N4</f>
        <v>473</v>
      </c>
      <c r="AR155" s="22">
        <f>Data!O4</f>
        <v>149</v>
      </c>
      <c r="AS155" s="24">
        <f>Data!P4</f>
        <v>434</v>
      </c>
      <c r="AT155" s="21">
        <f>Data!Q4</f>
        <v>152</v>
      </c>
      <c r="AU155" s="22">
        <f>Data!R4</f>
        <v>161</v>
      </c>
      <c r="AV155" s="20">
        <f>Data!S4</f>
        <v>65</v>
      </c>
      <c r="AW155" s="22">
        <f>Data!T4</f>
        <v>145</v>
      </c>
      <c r="AX155" s="117"/>
      <c r="AY155" s="117"/>
      <c r="AZ155" s="117"/>
      <c r="BA155" s="21">
        <f>Data!X4</f>
        <v>186</v>
      </c>
      <c r="BB155" s="19"/>
      <c r="BC155" s="20">
        <f>Data!Z4</f>
        <v>95</v>
      </c>
      <c r="BD155" s="19"/>
      <c r="BE155" s="19"/>
      <c r="BG155" s="180"/>
    </row>
    <row r="156" spans="1:59" x14ac:dyDescent="0.2">
      <c r="A156" s="191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  <c r="AA156" s="117"/>
      <c r="AB156" s="117"/>
      <c r="AC156" s="117"/>
      <c r="AD156" s="117"/>
      <c r="AE156" s="117"/>
      <c r="AF156" s="117"/>
      <c r="AG156" s="20">
        <f>Data!D5</f>
        <v>-58</v>
      </c>
      <c r="AH156" s="20">
        <f>Data!E5</f>
        <v>-5</v>
      </c>
      <c r="AI156" s="22">
        <f>Data!F5</f>
        <v>234</v>
      </c>
      <c r="AJ156" s="20">
        <f>Data!G5</f>
        <v>-99</v>
      </c>
      <c r="AK156" s="23">
        <f>Data!H5</f>
        <v>467</v>
      </c>
      <c r="AL156" s="23">
        <f>Data!I5</f>
        <v>372</v>
      </c>
      <c r="AM156" s="23">
        <f>Data!J5</f>
        <v>519</v>
      </c>
      <c r="AN156" s="23">
        <f>Data!K5</f>
        <v>478</v>
      </c>
      <c r="AO156" s="23">
        <f>Data!L5</f>
        <v>535</v>
      </c>
      <c r="AP156" s="24">
        <f>Data!M5</f>
        <v>297</v>
      </c>
      <c r="AQ156" s="23">
        <f>Data!N5</f>
        <v>551</v>
      </c>
      <c r="AR156" s="22">
        <f>Data!O5</f>
        <v>137</v>
      </c>
      <c r="AS156" s="22">
        <f>Data!P5</f>
        <v>236</v>
      </c>
      <c r="AT156" s="23">
        <f>Data!Q5</f>
        <v>504</v>
      </c>
      <c r="AU156" s="20">
        <f>Data!R5</f>
        <v>-47</v>
      </c>
      <c r="AV156" s="24">
        <f>Data!S5</f>
        <v>376</v>
      </c>
      <c r="AW156" s="24">
        <f>Data!T5</f>
        <v>401</v>
      </c>
      <c r="AX156" s="21">
        <f>Data!U5</f>
        <v>233</v>
      </c>
      <c r="AY156" s="23">
        <f>Data!V5</f>
        <v>516</v>
      </c>
      <c r="AZ156" s="22">
        <f>Data!W5</f>
        <v>185</v>
      </c>
      <c r="BA156" s="24">
        <f>Data!X5</f>
        <v>387</v>
      </c>
      <c r="BB156" s="19"/>
      <c r="BC156" s="22">
        <f>Data!Z5</f>
        <v>247</v>
      </c>
      <c r="BD156" s="19"/>
      <c r="BE156" s="19"/>
      <c r="BG156" s="180"/>
    </row>
    <row r="157" spans="1:59" x14ac:dyDescent="0.2">
      <c r="A157" s="192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25">
        <f>Data!E6</f>
        <v>-10</v>
      </c>
      <c r="AI157" s="25">
        <f>Data!F6</f>
        <v>103</v>
      </c>
      <c r="AJ157" s="25">
        <f>Data!G6</f>
        <v>51</v>
      </c>
      <c r="AK157" s="25">
        <f>Data!H6</f>
        <v>83</v>
      </c>
      <c r="AL157" s="27">
        <f>Data!I6</f>
        <v>545</v>
      </c>
      <c r="AM157" s="27">
        <f>Data!J6</f>
        <v>511</v>
      </c>
      <c r="AN157" s="27">
        <f>Data!K6</f>
        <v>405</v>
      </c>
      <c r="AO157" s="27">
        <f>Data!L6</f>
        <v>381</v>
      </c>
      <c r="AP157" s="27">
        <f>Data!M6</f>
        <v>393</v>
      </c>
      <c r="AQ157" s="28">
        <f>Data!N6</f>
        <v>401</v>
      </c>
      <c r="AR157" s="29">
        <f>Data!O6</f>
        <v>205</v>
      </c>
      <c r="AS157" s="29">
        <f>Data!P6</f>
        <v>298</v>
      </c>
      <c r="AT157" s="26">
        <f>Data!Q6</f>
        <v>115</v>
      </c>
      <c r="AU157" s="25">
        <f>Data!R6</f>
        <v>108</v>
      </c>
      <c r="AV157" s="29">
        <f>Data!S6</f>
        <v>252</v>
      </c>
      <c r="AW157" s="28">
        <f>Data!T6</f>
        <v>470</v>
      </c>
      <c r="AX157" s="30"/>
      <c r="AY157" s="26">
        <f>Data!V6</f>
        <v>153</v>
      </c>
      <c r="AZ157" s="25">
        <f>Data!W6</f>
        <v>60</v>
      </c>
      <c r="BA157" s="33"/>
      <c r="BB157" s="33"/>
      <c r="BC157" s="33"/>
      <c r="BD157" s="33"/>
      <c r="BE157" s="33"/>
      <c r="BG157" s="180"/>
    </row>
    <row r="158" spans="1:59" s="90" customFormat="1" x14ac:dyDescent="0.2">
      <c r="A158" s="190" t="s">
        <v>118</v>
      </c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  <c r="AA158" s="116"/>
      <c r="AB158" s="116"/>
      <c r="AC158" s="116"/>
      <c r="AD158" s="116"/>
      <c r="AE158" s="116"/>
      <c r="AF158" s="116"/>
      <c r="AG158" s="16"/>
      <c r="AH158" s="16"/>
      <c r="AI158" s="16"/>
      <c r="AJ158" s="31">
        <f>Data!F128</f>
        <v>1</v>
      </c>
      <c r="AK158" s="43">
        <f>Data!G128</f>
        <v>230</v>
      </c>
      <c r="AL158" s="44">
        <f>Data!H128</f>
        <v>147</v>
      </c>
      <c r="AM158" s="43">
        <f>Data!I128</f>
        <v>237</v>
      </c>
      <c r="AN158" s="31">
        <f>Data!J128</f>
        <v>-12</v>
      </c>
      <c r="AO158" s="43">
        <f>Data!K128</f>
        <v>289</v>
      </c>
      <c r="AP158" s="31">
        <f>Data!L128</f>
        <v>18</v>
      </c>
      <c r="AQ158" s="43">
        <f>Data!M128</f>
        <v>236</v>
      </c>
      <c r="AR158" s="44">
        <f>Data!N128</f>
        <v>224</v>
      </c>
      <c r="AS158" s="31">
        <f>Data!O128</f>
        <v>24</v>
      </c>
      <c r="AT158" s="31">
        <f>Data!P128</f>
        <v>-52</v>
      </c>
      <c r="AU158" s="16"/>
      <c r="AV158" s="16"/>
      <c r="AW158" s="16"/>
      <c r="AX158" s="16"/>
      <c r="AY158" s="16"/>
      <c r="AZ158" s="16"/>
      <c r="BA158" s="16"/>
      <c r="BB158" s="16"/>
      <c r="BC158" s="16"/>
      <c r="BD158" s="19"/>
      <c r="BE158" s="19"/>
      <c r="BF158" s="16"/>
      <c r="BG158" s="180"/>
    </row>
    <row r="159" spans="1:59" s="90" customFormat="1" x14ac:dyDescent="0.2">
      <c r="A159" s="191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  <c r="AA159" s="117"/>
      <c r="AB159" s="117"/>
      <c r="AC159" s="117"/>
      <c r="AD159" s="117"/>
      <c r="AE159" s="117"/>
      <c r="AF159" s="117"/>
      <c r="AG159" s="19"/>
      <c r="AH159" s="19"/>
      <c r="AI159" s="20">
        <f>Data!E129</f>
        <v>60</v>
      </c>
      <c r="AJ159" s="20">
        <f>Data!F129</f>
        <v>-91</v>
      </c>
      <c r="AK159" s="20">
        <f>Data!G129</f>
        <v>-67</v>
      </c>
      <c r="AL159" s="20">
        <f>Data!H129</f>
        <v>-62</v>
      </c>
      <c r="AM159" s="20">
        <f>Data!I129</f>
        <v>-61</v>
      </c>
      <c r="AN159" s="20">
        <f>Data!J129</f>
        <v>-68</v>
      </c>
      <c r="AO159" s="20">
        <f>Data!K129</f>
        <v>-99</v>
      </c>
      <c r="AP159" s="19"/>
      <c r="AQ159" s="20">
        <f>Data!M129</f>
        <v>59</v>
      </c>
      <c r="AR159" s="20">
        <f>Data!N129</f>
        <v>-67</v>
      </c>
      <c r="AS159" s="19"/>
      <c r="AT159" s="20">
        <f>Data!P129</f>
        <v>-89</v>
      </c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80"/>
    </row>
    <row r="160" spans="1:59" s="90" customFormat="1" x14ac:dyDescent="0.2">
      <c r="A160" s="191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  <c r="AA160" s="117"/>
      <c r="AB160" s="117"/>
      <c r="AC160" s="117"/>
      <c r="AD160" s="117"/>
      <c r="AE160" s="117"/>
      <c r="AF160" s="117"/>
      <c r="AG160" s="19"/>
      <c r="AH160" s="19"/>
      <c r="AI160" s="20">
        <f>Data!E130</f>
        <v>-12</v>
      </c>
      <c r="AJ160" s="20">
        <f>Data!F130</f>
        <v>66</v>
      </c>
      <c r="AK160" s="21">
        <f>Data!G130</f>
        <v>258</v>
      </c>
      <c r="AL160" s="24">
        <f>Data!H130</f>
        <v>240</v>
      </c>
      <c r="AM160" s="24">
        <f>Data!I130</f>
        <v>353</v>
      </c>
      <c r="AN160" s="20">
        <f>Data!J130</f>
        <v>-6</v>
      </c>
      <c r="AO160" s="22">
        <f>Data!K130</f>
        <v>120</v>
      </c>
      <c r="AP160" s="20">
        <f>Data!L130</f>
        <v>0</v>
      </c>
      <c r="AQ160" s="24">
        <f>Data!M130</f>
        <v>443</v>
      </c>
      <c r="AR160" s="20">
        <f>Data!N130</f>
        <v>59</v>
      </c>
      <c r="AS160" s="20">
        <f>Data!O130</f>
        <v>-6</v>
      </c>
      <c r="AT160" s="20">
        <f>Data!P130</f>
        <v>6</v>
      </c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80"/>
    </row>
    <row r="161" spans="1:59" s="90" customFormat="1" x14ac:dyDescent="0.2">
      <c r="A161" s="192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3"/>
      <c r="AH161" s="25">
        <f>Data!D131</f>
        <v>-24</v>
      </c>
      <c r="AI161" s="26">
        <f>Data!E131</f>
        <v>158</v>
      </c>
      <c r="AJ161" s="26">
        <f>Data!F131</f>
        <v>178</v>
      </c>
      <c r="AK161" s="27">
        <f>Data!G131</f>
        <v>530</v>
      </c>
      <c r="AL161" s="26">
        <f>Data!H131</f>
        <v>187</v>
      </c>
      <c r="AM161" s="25">
        <f>Data!I131</f>
        <v>-68</v>
      </c>
      <c r="AN161" s="28">
        <f>Data!J131</f>
        <v>296</v>
      </c>
      <c r="AO161" s="26">
        <f>Data!K131</f>
        <v>163</v>
      </c>
      <c r="AP161" s="26">
        <f>Data!L131</f>
        <v>265</v>
      </c>
      <c r="AQ161" s="25">
        <f>Data!M131</f>
        <v>-20</v>
      </c>
      <c r="AR161" s="25">
        <f>Data!N131</f>
        <v>-22</v>
      </c>
      <c r="AS161" s="26">
        <f>Data!O131</f>
        <v>127</v>
      </c>
      <c r="AT161" s="25">
        <f>Data!P131</f>
        <v>92</v>
      </c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19"/>
      <c r="BG161" s="180"/>
    </row>
    <row r="162" spans="1:59" x14ac:dyDescent="0.2">
      <c r="A162" s="190" t="s">
        <v>10</v>
      </c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  <c r="AA162" s="116"/>
      <c r="AB162" s="116"/>
      <c r="AC162" s="116"/>
      <c r="AD162" s="116"/>
      <c r="AE162" s="116"/>
      <c r="AF162" s="116"/>
      <c r="AG162" s="116"/>
      <c r="AH162" s="116"/>
      <c r="AI162" s="116"/>
      <c r="AJ162" s="116"/>
      <c r="AK162" s="16"/>
      <c r="AL162" s="31">
        <f>Data!E8</f>
        <v>-1</v>
      </c>
      <c r="AM162" s="31">
        <f>Data!F8</f>
        <v>118</v>
      </c>
      <c r="AN162" s="16"/>
      <c r="AO162" s="44">
        <f>Data!H8</f>
        <v>203</v>
      </c>
      <c r="AP162" s="43">
        <f>Data!I8</f>
        <v>183</v>
      </c>
      <c r="AQ162" s="17">
        <f>Data!J8</f>
        <v>469</v>
      </c>
      <c r="AR162" s="44">
        <f>Data!K8</f>
        <v>204</v>
      </c>
      <c r="AS162" s="44">
        <f>Data!L8</f>
        <v>107</v>
      </c>
      <c r="AT162" s="18">
        <f>Data!M8</f>
        <v>304</v>
      </c>
      <c r="AU162" s="16"/>
      <c r="AV162" s="18">
        <f>Data!O8</f>
        <v>397</v>
      </c>
      <c r="AW162" s="44">
        <f>Data!P8</f>
        <v>152</v>
      </c>
      <c r="AX162" s="31">
        <f>Data!Q8</f>
        <v>-45</v>
      </c>
      <c r="AY162" s="18">
        <f>Data!R8</f>
        <v>480</v>
      </c>
      <c r="AZ162" s="44">
        <f>Data!S8</f>
        <v>231</v>
      </c>
      <c r="BA162" s="18">
        <f>Data!T8</f>
        <v>345</v>
      </c>
      <c r="BB162" s="44">
        <f>Data!U8</f>
        <v>200</v>
      </c>
      <c r="BC162" s="44">
        <f>Data!V8</f>
        <v>165</v>
      </c>
      <c r="BD162" s="17">
        <f>Data!W8</f>
        <v>465</v>
      </c>
      <c r="BE162" s="31">
        <f>Data!X8</f>
        <v>-3</v>
      </c>
      <c r="BF162" s="16"/>
      <c r="BG162" s="180"/>
    </row>
    <row r="163" spans="1:59" x14ac:dyDescent="0.2">
      <c r="A163" s="191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  <c r="AA163" s="117"/>
      <c r="AB163" s="117"/>
      <c r="AC163" s="117"/>
      <c r="AD163" s="117"/>
      <c r="AE163" s="117"/>
      <c r="AF163" s="117"/>
      <c r="AG163" s="117"/>
      <c r="AH163" s="117"/>
      <c r="AI163" s="117"/>
      <c r="AJ163" s="117"/>
      <c r="AK163" s="19"/>
      <c r="AL163" s="19"/>
      <c r="AM163" s="23">
        <f>Data!F9</f>
        <v>497</v>
      </c>
      <c r="AN163" s="23">
        <f>Data!G9</f>
        <v>453</v>
      </c>
      <c r="AO163" s="23">
        <f>Data!H9</f>
        <v>498</v>
      </c>
      <c r="AP163" s="23">
        <f>Data!I9</f>
        <v>481</v>
      </c>
      <c r="AQ163" s="20">
        <f>Data!J9</f>
        <v>58</v>
      </c>
      <c r="AR163" s="23">
        <f>Data!K9</f>
        <v>509</v>
      </c>
      <c r="AS163" s="23">
        <f>Data!L9</f>
        <v>515</v>
      </c>
      <c r="AT163" s="23">
        <f>Data!M9</f>
        <v>477</v>
      </c>
      <c r="AU163" s="23">
        <f>Data!N9</f>
        <v>552</v>
      </c>
      <c r="AV163" s="23">
        <f>Data!O9</f>
        <v>432</v>
      </c>
      <c r="AW163" s="22">
        <f>Data!P9</f>
        <v>85</v>
      </c>
      <c r="AX163" s="20">
        <f>Data!Q9</f>
        <v>-54</v>
      </c>
      <c r="AY163" s="23">
        <f>Data!R9</f>
        <v>550</v>
      </c>
      <c r="AZ163" s="23">
        <f>Data!S9</f>
        <v>453</v>
      </c>
      <c r="BA163" s="23">
        <f>Data!T9</f>
        <v>431</v>
      </c>
      <c r="BB163" s="23">
        <f>Data!U9</f>
        <v>338</v>
      </c>
      <c r="BC163" s="21">
        <f>Data!V9</f>
        <v>330</v>
      </c>
      <c r="BD163" s="23">
        <f>Data!W9</f>
        <v>522</v>
      </c>
      <c r="BE163" s="19"/>
      <c r="BF163" s="162">
        <f>Data!Y9</f>
        <v>-4</v>
      </c>
      <c r="BG163" s="181"/>
    </row>
    <row r="164" spans="1:59" x14ac:dyDescent="0.2">
      <c r="A164" s="191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  <c r="AA164" s="117"/>
      <c r="AB164" s="117"/>
      <c r="AC164" s="117"/>
      <c r="AD164" s="117"/>
      <c r="AE164" s="117"/>
      <c r="AF164" s="117"/>
      <c r="AG164" s="117"/>
      <c r="AH164" s="117"/>
      <c r="AI164" s="117"/>
      <c r="AJ164" s="117"/>
      <c r="AK164" s="20">
        <f>Data!D10</f>
        <v>15</v>
      </c>
      <c r="AL164" s="19"/>
      <c r="AM164" s="20">
        <f>Data!F10</f>
        <v>-8</v>
      </c>
      <c r="AN164" s="24">
        <f>Data!G10</f>
        <v>267</v>
      </c>
      <c r="AO164" s="24">
        <f>Data!H10</f>
        <v>466</v>
      </c>
      <c r="AP164" s="23">
        <f>Data!I10</f>
        <v>452</v>
      </c>
      <c r="AQ164" s="19"/>
      <c r="AR164" s="23">
        <f>Data!K10</f>
        <v>431</v>
      </c>
      <c r="AS164" s="24">
        <f>Data!L10</f>
        <v>332</v>
      </c>
      <c r="AT164" s="20">
        <f>Data!M10</f>
        <v>-79</v>
      </c>
      <c r="AU164" s="20">
        <f>Data!N10</f>
        <v>-99</v>
      </c>
      <c r="AV164" s="20">
        <f>Data!O10</f>
        <v>35</v>
      </c>
      <c r="AW164" s="20">
        <f>Data!P10</f>
        <v>-41</v>
      </c>
      <c r="AX164" s="19"/>
      <c r="AY164" s="20">
        <f>Data!R10</f>
        <v>112</v>
      </c>
      <c r="AZ164" s="21">
        <f>Data!S10</f>
        <v>154</v>
      </c>
      <c r="BA164" s="21">
        <f>Data!T10</f>
        <v>169</v>
      </c>
      <c r="BB164" s="19"/>
      <c r="BC164" s="19"/>
      <c r="BD164" s="21">
        <f>Data!W10</f>
        <v>321</v>
      </c>
      <c r="BE164" s="19"/>
      <c r="BG164" s="180"/>
    </row>
    <row r="165" spans="1:59" x14ac:dyDescent="0.2">
      <c r="A165" s="192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25">
        <f>Data!D11</f>
        <v>17</v>
      </c>
      <c r="AL165" s="25">
        <f>Data!E11</f>
        <v>-1</v>
      </c>
      <c r="AM165" s="25">
        <f>Data!F11</f>
        <v>-49</v>
      </c>
      <c r="AN165" s="26">
        <f>Data!G11</f>
        <v>15</v>
      </c>
      <c r="AO165" s="25">
        <f>Data!H11</f>
        <v>56</v>
      </c>
      <c r="AP165" s="29">
        <f>Data!I11</f>
        <v>155</v>
      </c>
      <c r="AQ165" s="29">
        <f>Data!J11</f>
        <v>313</v>
      </c>
      <c r="AR165" s="27">
        <f>Data!K11</f>
        <v>530</v>
      </c>
      <c r="AS165" s="28">
        <f>Data!L11</f>
        <v>262</v>
      </c>
      <c r="AT165" s="33"/>
      <c r="AU165" s="27">
        <f>Data!N11</f>
        <v>464</v>
      </c>
      <c r="AV165" s="33"/>
      <c r="AW165" s="25">
        <f>Data!P11</f>
        <v>61</v>
      </c>
      <c r="AX165" s="25">
        <f>Data!Q11</f>
        <v>43</v>
      </c>
      <c r="AY165" s="27">
        <f>Data!R11</f>
        <v>298</v>
      </c>
      <c r="AZ165" s="29">
        <f>Data!S11</f>
        <v>257</v>
      </c>
      <c r="BA165" s="27">
        <f>Data!T11</f>
        <v>417</v>
      </c>
      <c r="BB165" s="33"/>
      <c r="BC165" s="33"/>
      <c r="BD165" s="25">
        <f>Data!W11</f>
        <v>27</v>
      </c>
      <c r="BE165" s="30"/>
      <c r="BG165" s="180"/>
    </row>
    <row r="166" spans="1:59" x14ac:dyDescent="0.2">
      <c r="A166" s="190" t="s">
        <v>18</v>
      </c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  <c r="AF166" s="116"/>
      <c r="AG166" s="116"/>
      <c r="AH166" s="116"/>
      <c r="AI166" s="116"/>
      <c r="AJ166" s="116"/>
      <c r="AK166" s="116"/>
      <c r="AL166" s="116"/>
      <c r="AM166" s="31">
        <f>Data!D18</f>
        <v>-4</v>
      </c>
      <c r="AN166" s="31">
        <f>Data!E18</f>
        <v>-68</v>
      </c>
      <c r="AO166" s="31">
        <f>Data!F18</f>
        <v>78</v>
      </c>
      <c r="AP166" s="17">
        <f>Data!G18</f>
        <v>474</v>
      </c>
      <c r="AQ166" s="44">
        <f>Data!H18</f>
        <v>40</v>
      </c>
      <c r="AR166" s="44">
        <f>Data!I18</f>
        <v>83</v>
      </c>
      <c r="AS166" s="17">
        <f>Data!J18</f>
        <v>571</v>
      </c>
      <c r="AT166" s="17">
        <f>Data!K18</f>
        <v>404</v>
      </c>
      <c r="AU166" s="17">
        <f>Data!L18</f>
        <v>570</v>
      </c>
      <c r="AV166" s="44">
        <f>Data!M18</f>
        <v>144</v>
      </c>
      <c r="AW166" s="17">
        <f>Data!N18</f>
        <v>472</v>
      </c>
      <c r="AX166" s="17">
        <f>Data!O18</f>
        <v>545</v>
      </c>
      <c r="AY166" s="31">
        <f>Data!P18</f>
        <v>-39</v>
      </c>
      <c r="AZ166" s="31">
        <f>Data!Q18</f>
        <v>119</v>
      </c>
      <c r="BA166" s="17">
        <f>Data!R18</f>
        <v>474</v>
      </c>
      <c r="BB166" s="17">
        <f>Data!S18</f>
        <v>486</v>
      </c>
      <c r="BC166" s="17">
        <f>Data!T18</f>
        <v>475</v>
      </c>
      <c r="BD166" s="4"/>
      <c r="BE166" s="23">
        <f>Data!V18</f>
        <v>484</v>
      </c>
      <c r="BF166" s="185">
        <f>Data!W18</f>
        <v>312</v>
      </c>
      <c r="BG166" s="180"/>
    </row>
    <row r="167" spans="1:59" x14ac:dyDescent="0.2">
      <c r="A167" s="191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  <c r="AA167" s="117"/>
      <c r="AB167" s="117"/>
      <c r="AC167" s="117"/>
      <c r="AD167" s="117"/>
      <c r="AE167" s="117"/>
      <c r="AF167" s="117"/>
      <c r="AG167" s="117"/>
      <c r="AH167" s="117"/>
      <c r="AI167" s="117"/>
      <c r="AJ167" s="117"/>
      <c r="AK167" s="117"/>
      <c r="AL167" s="117"/>
      <c r="AM167" s="20">
        <f>Data!D19</f>
        <v>21</v>
      </c>
      <c r="AN167" s="22">
        <f>Data!E19</f>
        <v>305</v>
      </c>
      <c r="AO167" s="21">
        <f>Data!F19</f>
        <v>91</v>
      </c>
      <c r="AP167" s="21">
        <f>Data!G19</f>
        <v>160</v>
      </c>
      <c r="AQ167" s="20">
        <f>Data!H19</f>
        <v>-27</v>
      </c>
      <c r="AR167" s="22">
        <f>Data!I19</f>
        <v>87</v>
      </c>
      <c r="AS167" s="21">
        <f>Data!J19</f>
        <v>299</v>
      </c>
      <c r="AT167" s="24">
        <f>Data!K19</f>
        <v>303</v>
      </c>
      <c r="AU167" s="21">
        <f>Data!L19</f>
        <v>322</v>
      </c>
      <c r="AV167" s="24">
        <f>Data!M19</f>
        <v>479</v>
      </c>
      <c r="AW167" s="24">
        <f>Data!N19</f>
        <v>352</v>
      </c>
      <c r="AX167" s="23">
        <f>Data!O19</f>
        <v>454</v>
      </c>
      <c r="AY167" s="22">
        <f>Data!P19</f>
        <v>208</v>
      </c>
      <c r="AZ167" s="22">
        <f>Data!Q19</f>
        <v>97</v>
      </c>
      <c r="BA167" s="21">
        <f>Data!R19</f>
        <v>224</v>
      </c>
      <c r="BB167" s="24">
        <f>Data!S19</f>
        <v>344</v>
      </c>
      <c r="BC167" s="23">
        <f>Data!T19</f>
        <v>406</v>
      </c>
      <c r="BD167" s="5">
        <f>Data!U19</f>
        <v>154</v>
      </c>
      <c r="BE167" s="23">
        <f>Data!V19</f>
        <v>435</v>
      </c>
      <c r="BF167" s="22">
        <f>Data!W19</f>
        <v>195</v>
      </c>
      <c r="BG167" s="180"/>
    </row>
    <row r="168" spans="1:59" x14ac:dyDescent="0.2">
      <c r="A168" s="191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  <c r="AA168" s="117"/>
      <c r="AB168" s="117"/>
      <c r="AC168" s="117"/>
      <c r="AD168" s="117"/>
      <c r="AE168" s="117"/>
      <c r="AF168" s="117"/>
      <c r="AG168" s="117"/>
      <c r="AH168" s="117"/>
      <c r="AI168" s="117"/>
      <c r="AJ168" s="117"/>
      <c r="AK168" s="117"/>
      <c r="AL168" s="117"/>
      <c r="AM168" s="20">
        <f>Data!D20</f>
        <v>42</v>
      </c>
      <c r="AN168" s="20">
        <f>Data!E20</f>
        <v>176</v>
      </c>
      <c r="AO168" s="21">
        <f>Data!F20</f>
        <v>291</v>
      </c>
      <c r="AP168" s="20">
        <f>Data!G20</f>
        <v>-66</v>
      </c>
      <c r="AQ168" s="22">
        <f>Data!H20</f>
        <v>132</v>
      </c>
      <c r="AR168" s="21">
        <f>Data!I20</f>
        <v>206</v>
      </c>
      <c r="AS168" s="23">
        <f>Data!J20</f>
        <v>495</v>
      </c>
      <c r="AT168" s="21">
        <f>Data!K20</f>
        <v>328</v>
      </c>
      <c r="AU168" s="24">
        <f>Data!L20</f>
        <v>439</v>
      </c>
      <c r="AV168" s="23">
        <f>Data!M20</f>
        <v>557</v>
      </c>
      <c r="AW168" s="23">
        <f>Data!N20</f>
        <v>552</v>
      </c>
      <c r="AX168" s="20">
        <f>Data!O20</f>
        <v>18</v>
      </c>
      <c r="AY168" s="22">
        <f>Data!P20</f>
        <v>103</v>
      </c>
      <c r="AZ168" s="23">
        <f>Data!Q20</f>
        <v>499</v>
      </c>
      <c r="BA168" s="23">
        <f>Data!R20</f>
        <v>432</v>
      </c>
      <c r="BB168" s="19"/>
      <c r="BC168" s="23">
        <f>Data!T20</f>
        <v>371</v>
      </c>
      <c r="BD168" s="6">
        <f>Data!U20</f>
        <v>407</v>
      </c>
      <c r="BE168" s="24">
        <f>Data!V20</f>
        <v>371</v>
      </c>
      <c r="BF168" s="24">
        <v>242</v>
      </c>
      <c r="BG168" s="180"/>
    </row>
    <row r="169" spans="1:59" x14ac:dyDescent="0.2">
      <c r="A169" s="192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25">
        <f>Data!D21</f>
        <v>87</v>
      </c>
      <c r="AN169" s="25">
        <f>Data!E21</f>
        <v>26</v>
      </c>
      <c r="AO169" s="28">
        <f>Data!F21</f>
        <v>383</v>
      </c>
      <c r="AP169" s="29">
        <f>Data!G21</f>
        <v>287</v>
      </c>
      <c r="AQ169" s="29">
        <f>Data!H21</f>
        <v>237</v>
      </c>
      <c r="AR169" s="28">
        <f>Data!I21</f>
        <v>393</v>
      </c>
      <c r="AS169" s="27">
        <f>Data!J21</f>
        <v>491</v>
      </c>
      <c r="AT169" s="28">
        <f>Data!K21</f>
        <v>399</v>
      </c>
      <c r="AU169" s="28">
        <f>Data!L21</f>
        <v>274</v>
      </c>
      <c r="AV169" s="29">
        <f>Data!M21</f>
        <v>263</v>
      </c>
      <c r="AW169" s="27">
        <f>Data!N21</f>
        <v>530</v>
      </c>
      <c r="AX169" s="28">
        <f>Data!O21</f>
        <v>315</v>
      </c>
      <c r="AY169" s="33"/>
      <c r="AZ169" s="27">
        <f>Data!Q21</f>
        <v>475</v>
      </c>
      <c r="BA169" s="25">
        <f>Data!R21</f>
        <v>45</v>
      </c>
      <c r="BB169" s="25">
        <f>Data!S21</f>
        <v>109</v>
      </c>
      <c r="BC169" s="28">
        <f>Data!T21</f>
        <v>266</v>
      </c>
      <c r="BD169" s="33"/>
      <c r="BE169" s="6">
        <f>Data!V21</f>
        <v>350</v>
      </c>
      <c r="BF169" s="4"/>
      <c r="BG169" s="180"/>
    </row>
    <row r="170" spans="1:59" s="64" customFormat="1" x14ac:dyDescent="0.2">
      <c r="A170" s="190" t="s">
        <v>114</v>
      </c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  <c r="AA170" s="116"/>
      <c r="AB170" s="116"/>
      <c r="AC170" s="116"/>
      <c r="AD170" s="116"/>
      <c r="AE170" s="116"/>
      <c r="AF170" s="116"/>
      <c r="AG170" s="116"/>
      <c r="AH170" s="116"/>
      <c r="AI170" s="116"/>
      <c r="AJ170" s="116"/>
      <c r="AK170" s="116"/>
      <c r="AL170" s="16"/>
      <c r="AM170" s="4"/>
      <c r="AN170" s="3">
        <f>Data!E83</f>
        <v>24</v>
      </c>
      <c r="AO170" s="3">
        <f>Data!F83</f>
        <v>3</v>
      </c>
      <c r="AP170" s="3">
        <f>Data!G83</f>
        <v>-38</v>
      </c>
      <c r="AQ170" s="3">
        <f>Data!H83</f>
        <v>-18</v>
      </c>
      <c r="AR170" s="3">
        <f>Data!I83</f>
        <v>43</v>
      </c>
      <c r="AS170" s="5">
        <f>Data!J83</f>
        <v>211</v>
      </c>
      <c r="AT170" s="3">
        <f>Data!K83</f>
        <v>62</v>
      </c>
      <c r="AU170" s="3">
        <f>Data!L83</f>
        <v>90</v>
      </c>
      <c r="AV170" s="6">
        <f>Data!M83</f>
        <v>523</v>
      </c>
      <c r="AW170" s="8">
        <f>Data!N83</f>
        <v>207</v>
      </c>
      <c r="AX170" s="3">
        <f>Data!O83</f>
        <v>38</v>
      </c>
      <c r="AY170" s="8">
        <f>Data!P83</f>
        <v>309</v>
      </c>
      <c r="AZ170" s="3">
        <f>Data!Q83</f>
        <v>-96</v>
      </c>
      <c r="BA170" s="3">
        <f>Data!R83</f>
        <v>-2</v>
      </c>
      <c r="BB170" s="5">
        <f>Data!S83</f>
        <v>203</v>
      </c>
      <c r="BC170" s="3">
        <f>Data!T83</f>
        <v>-54</v>
      </c>
      <c r="BD170" s="116"/>
      <c r="BE170" s="31">
        <f>Data!V83</f>
        <v>-53</v>
      </c>
      <c r="BF170" s="31">
        <f>Data!W83</f>
        <v>-20</v>
      </c>
      <c r="BG170" s="180"/>
    </row>
    <row r="171" spans="1:59" s="64" customFormat="1" x14ac:dyDescent="0.2">
      <c r="A171" s="191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  <c r="AA171" s="117"/>
      <c r="AB171" s="117"/>
      <c r="AC171" s="117"/>
      <c r="AD171" s="117"/>
      <c r="AE171" s="117"/>
      <c r="AF171" s="117"/>
      <c r="AG171" s="117"/>
      <c r="AH171" s="117"/>
      <c r="AI171" s="117"/>
      <c r="AJ171" s="117"/>
      <c r="AK171" s="117"/>
      <c r="AL171" s="19"/>
      <c r="AM171" s="3">
        <f>Data!D84</f>
        <v>42</v>
      </c>
      <c r="AN171" s="3">
        <f>Data!E84</f>
        <v>-3</v>
      </c>
      <c r="AO171" s="3">
        <f>Data!F84</f>
        <v>30</v>
      </c>
      <c r="AP171" s="3">
        <f>Data!G84</f>
        <v>87</v>
      </c>
      <c r="AQ171" s="3">
        <f>Data!H84</f>
        <v>31</v>
      </c>
      <c r="AR171" s="3">
        <f>Data!I84</f>
        <v>58</v>
      </c>
      <c r="AS171" s="3">
        <f>Data!J84</f>
        <v>82</v>
      </c>
      <c r="AT171" s="3">
        <f>Data!K84</f>
        <v>173</v>
      </c>
      <c r="AU171" s="5">
        <f>Data!L84</f>
        <v>238</v>
      </c>
      <c r="AV171" s="3">
        <f>Data!M84</f>
        <v>-41</v>
      </c>
      <c r="AW171" s="6">
        <f>Data!N84</f>
        <v>517</v>
      </c>
      <c r="AX171" s="8">
        <f>Data!O84</f>
        <v>259</v>
      </c>
      <c r="AY171" s="7">
        <f>Data!P84</f>
        <v>387</v>
      </c>
      <c r="AZ171" s="3">
        <f>Data!Q84</f>
        <v>-67</v>
      </c>
      <c r="BA171" s="5">
        <f>Data!R84</f>
        <v>219</v>
      </c>
      <c r="BB171" s="3">
        <f>Data!S84</f>
        <v>-60</v>
      </c>
      <c r="BC171" s="135"/>
      <c r="BD171" s="20">
        <f>Data!U84</f>
        <v>-99</v>
      </c>
      <c r="BE171" s="20">
        <f>Data!V84</f>
        <v>-66</v>
      </c>
      <c r="BF171" s="162">
        <f>Data!W84</f>
        <v>-25</v>
      </c>
      <c r="BG171" s="181"/>
    </row>
    <row r="172" spans="1:59" s="64" customFormat="1" x14ac:dyDescent="0.2">
      <c r="A172" s="191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  <c r="AA172" s="117"/>
      <c r="AB172" s="117"/>
      <c r="AC172" s="117"/>
      <c r="AD172" s="117"/>
      <c r="AE172" s="117"/>
      <c r="AF172" s="117"/>
      <c r="AG172" s="117"/>
      <c r="AH172" s="117"/>
      <c r="AI172" s="117"/>
      <c r="AJ172" s="117"/>
      <c r="AK172" s="117"/>
      <c r="AL172" s="19"/>
      <c r="AM172" s="3">
        <f>Data!D85</f>
        <v>-53</v>
      </c>
      <c r="AN172" s="3">
        <f>Data!E85</f>
        <v>75</v>
      </c>
      <c r="AO172" s="3">
        <f>Data!F85</f>
        <v>-68</v>
      </c>
      <c r="AP172" s="3">
        <f>Data!G85</f>
        <v>-5</v>
      </c>
      <c r="AQ172" s="3">
        <f>Data!H85</f>
        <v>42</v>
      </c>
      <c r="AR172" s="3">
        <f>Data!I85</f>
        <v>-70</v>
      </c>
      <c r="AS172" s="3">
        <f>Data!J85</f>
        <v>-48</v>
      </c>
      <c r="AT172" s="3">
        <f>Data!K85</f>
        <v>-35</v>
      </c>
      <c r="AU172" s="3">
        <f>Data!L85</f>
        <v>-70</v>
      </c>
      <c r="AV172" s="5">
        <f>Data!M85</f>
        <v>254</v>
      </c>
      <c r="AW172" s="5">
        <f>Data!N85</f>
        <v>236</v>
      </c>
      <c r="AX172" s="3">
        <f>Data!O85</f>
        <v>-64</v>
      </c>
      <c r="AY172" s="3">
        <f>Data!P85</f>
        <v>-52</v>
      </c>
      <c r="AZ172" s="3">
        <f>Data!Q85</f>
        <v>-5</v>
      </c>
      <c r="BA172" s="3">
        <f>Data!R85</f>
        <v>-62</v>
      </c>
      <c r="BB172" s="4"/>
      <c r="BC172" s="135"/>
      <c r="BD172" s="20">
        <f>Data!U85</f>
        <v>-10</v>
      </c>
      <c r="BE172" s="20">
        <f>Data!V85</f>
        <v>122</v>
      </c>
      <c r="BF172" s="162">
        <v>-32</v>
      </c>
      <c r="BG172" s="180"/>
    </row>
    <row r="173" spans="1:59" s="64" customFormat="1" x14ac:dyDescent="0.2">
      <c r="A173" s="192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19"/>
      <c r="AM173" s="3">
        <f>Data!D86</f>
        <v>33</v>
      </c>
      <c r="AN173" s="3">
        <f>Data!E86</f>
        <v>129</v>
      </c>
      <c r="AO173" s="3">
        <f>Data!F86</f>
        <v>110</v>
      </c>
      <c r="AP173" s="3">
        <f>Data!G86</f>
        <v>49</v>
      </c>
      <c r="AQ173" s="3">
        <f>Data!H86</f>
        <v>-99</v>
      </c>
      <c r="AR173" s="5">
        <f>Data!I86</f>
        <v>238</v>
      </c>
      <c r="AS173" s="3">
        <f>Data!J86</f>
        <v>-98</v>
      </c>
      <c r="AT173" s="3">
        <f>Data!K86</f>
        <v>112</v>
      </c>
      <c r="AU173" s="8">
        <f>Data!L86</f>
        <v>301</v>
      </c>
      <c r="AV173" s="5">
        <f>Data!M86</f>
        <v>126</v>
      </c>
      <c r="AW173" s="8">
        <f>Data!N86</f>
        <v>209</v>
      </c>
      <c r="AX173" s="6">
        <f>Data!O86</f>
        <v>372</v>
      </c>
      <c r="AY173" s="4"/>
      <c r="AZ173" s="3">
        <f>Data!Q86</f>
        <v>68</v>
      </c>
      <c r="BA173" s="5">
        <f>Data!R86</f>
        <v>132</v>
      </c>
      <c r="BB173" s="4"/>
      <c r="BC173" s="135"/>
      <c r="BD173" s="25">
        <f>Data!U86</f>
        <v>-99</v>
      </c>
      <c r="BE173" s="20">
        <f>Data!V86</f>
        <v>120</v>
      </c>
      <c r="BF173" s="19"/>
      <c r="BG173" s="180"/>
    </row>
    <row r="174" spans="1:59" s="64" customFormat="1" x14ac:dyDescent="0.2">
      <c r="A174" s="190" t="s">
        <v>112</v>
      </c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  <c r="AA174" s="116"/>
      <c r="AB174" s="116"/>
      <c r="AC174" s="116"/>
      <c r="AD174" s="116"/>
      <c r="AE174" s="116"/>
      <c r="AF174" s="116"/>
      <c r="AG174" s="116"/>
      <c r="AH174" s="116"/>
      <c r="AI174" s="116"/>
      <c r="AJ174" s="116"/>
      <c r="AK174" s="116"/>
      <c r="AL174" s="116"/>
      <c r="AM174" s="16"/>
      <c r="AN174" s="31">
        <f>Data!E73</f>
        <v>-51</v>
      </c>
      <c r="AO174" s="31">
        <f>Data!F73</f>
        <v>170</v>
      </c>
      <c r="AP174" s="31">
        <f>Data!G73</f>
        <v>-38</v>
      </c>
      <c r="AQ174" s="31">
        <f>Data!H73</f>
        <v>105</v>
      </c>
      <c r="AR174" s="18">
        <f>Data!I73</f>
        <v>360</v>
      </c>
      <c r="AS174" s="18">
        <f>Data!J73</f>
        <v>353</v>
      </c>
      <c r="AT174" s="43">
        <f>Data!K73</f>
        <v>181</v>
      </c>
      <c r="AU174" s="18">
        <f>Data!L73</f>
        <v>326</v>
      </c>
      <c r="AV174" s="44">
        <f>Data!M73</f>
        <v>81</v>
      </c>
      <c r="AW174" s="18">
        <f>Data!N73</f>
        <v>324</v>
      </c>
      <c r="AX174" s="18">
        <f>Data!O73</f>
        <v>410</v>
      </c>
      <c r="AY174" s="31">
        <f>Data!P73</f>
        <v>25</v>
      </c>
      <c r="AZ174" s="16"/>
      <c r="BA174" s="31">
        <f>Data!R73</f>
        <v>-22</v>
      </c>
      <c r="BB174" s="16"/>
      <c r="BC174" s="16"/>
      <c r="BD174" s="3">
        <f>Data!U73</f>
        <v>-20</v>
      </c>
      <c r="BE174" s="31">
        <f>Data!V73</f>
        <v>64</v>
      </c>
      <c r="BF174" s="182">
        <f>Data!W73</f>
        <v>-30</v>
      </c>
      <c r="BG174" s="180"/>
    </row>
    <row r="175" spans="1:59" s="64" customFormat="1" x14ac:dyDescent="0.2">
      <c r="A175" s="191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  <c r="AA175" s="117"/>
      <c r="AB175" s="117"/>
      <c r="AC175" s="117"/>
      <c r="AD175" s="117"/>
      <c r="AE175" s="117"/>
      <c r="AF175" s="117"/>
      <c r="AG175" s="117"/>
      <c r="AH175" s="117"/>
      <c r="AI175" s="117"/>
      <c r="AJ175" s="117"/>
      <c r="AK175" s="117"/>
      <c r="AL175" s="117"/>
      <c r="AM175" s="19"/>
      <c r="AN175" s="20">
        <f>Data!E74</f>
        <v>-25</v>
      </c>
      <c r="AO175" s="19"/>
      <c r="AP175" s="20">
        <f>Data!G74</f>
        <v>33</v>
      </c>
      <c r="AQ175" s="22">
        <f>Data!H74</f>
        <v>122</v>
      </c>
      <c r="AR175" s="20">
        <f>Data!I74</f>
        <v>161</v>
      </c>
      <c r="AS175" s="21">
        <f>Data!J74</f>
        <v>177</v>
      </c>
      <c r="AT175" s="22">
        <f>Data!K74</f>
        <v>221</v>
      </c>
      <c r="AU175" s="19"/>
      <c r="AV175" s="21">
        <f>Data!M74</f>
        <v>225</v>
      </c>
      <c r="AW175" s="21">
        <f>Data!N74</f>
        <v>295</v>
      </c>
      <c r="AX175" s="24">
        <f>Data!O74</f>
        <v>367</v>
      </c>
      <c r="AY175" s="21">
        <f>Data!P74</f>
        <v>304</v>
      </c>
      <c r="AZ175" s="19"/>
      <c r="BA175" s="19"/>
      <c r="BB175" s="20">
        <f>Data!S74</f>
        <v>-16</v>
      </c>
      <c r="BC175" s="19"/>
      <c r="BD175" s="4"/>
      <c r="BE175" s="19"/>
      <c r="BF175" s="20">
        <f>Data!W74</f>
        <v>-98</v>
      </c>
      <c r="BG175" s="180"/>
    </row>
    <row r="176" spans="1:59" s="64" customFormat="1" x14ac:dyDescent="0.2">
      <c r="A176" s="191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  <c r="AA176" s="117"/>
      <c r="AB176" s="117"/>
      <c r="AC176" s="117"/>
      <c r="AD176" s="117"/>
      <c r="AE176" s="117"/>
      <c r="AF176" s="117"/>
      <c r="AG176" s="117"/>
      <c r="AH176" s="117"/>
      <c r="AI176" s="117"/>
      <c r="AJ176" s="117"/>
      <c r="AK176" s="117"/>
      <c r="AL176" s="117"/>
      <c r="AM176" s="20">
        <f>Data!D75</f>
        <v>69</v>
      </c>
      <c r="AN176" s="20">
        <f>Data!E75</f>
        <v>151</v>
      </c>
      <c r="AO176" s="19"/>
      <c r="AP176" s="22">
        <f>Data!G75</f>
        <v>209</v>
      </c>
      <c r="AQ176" s="21">
        <f>Data!H75</f>
        <v>216</v>
      </c>
      <c r="AR176" s="21">
        <f>Data!I75</f>
        <v>307</v>
      </c>
      <c r="AS176" s="21">
        <f>Data!J75</f>
        <v>283</v>
      </c>
      <c r="AT176" s="24">
        <f>Data!K75</f>
        <v>451</v>
      </c>
      <c r="AU176" s="23">
        <f>Data!L75</f>
        <v>452</v>
      </c>
      <c r="AV176" s="22">
        <f>Data!M75</f>
        <v>161</v>
      </c>
      <c r="AW176" s="21">
        <f>Data!N75</f>
        <v>377</v>
      </c>
      <c r="AX176" s="23">
        <f>Data!O75</f>
        <v>442</v>
      </c>
      <c r="AY176" s="22">
        <f>Data!P75</f>
        <v>122</v>
      </c>
      <c r="AZ176" s="19"/>
      <c r="BA176" s="19"/>
      <c r="BB176" s="19"/>
      <c r="BC176" s="20">
        <f>Data!T75</f>
        <v>67</v>
      </c>
      <c r="BD176" s="3">
        <f>Data!U75</f>
        <v>6</v>
      </c>
      <c r="BE176" s="3">
        <f>Data!V75</f>
        <v>-4</v>
      </c>
      <c r="BF176" s="4"/>
      <c r="BG176" s="180"/>
    </row>
    <row r="177" spans="1:59" s="64" customFormat="1" x14ac:dyDescent="0.2">
      <c r="A177" s="192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25">
        <f>Data!D76</f>
        <v>-38</v>
      </c>
      <c r="AN177" s="25">
        <f>Data!E76</f>
        <v>90</v>
      </c>
      <c r="AO177" s="25">
        <f>Data!F76</f>
        <v>3</v>
      </c>
      <c r="AP177" s="28">
        <f>Data!G76</f>
        <v>415</v>
      </c>
      <c r="AQ177" s="25">
        <f>Data!H76</f>
        <v>3</v>
      </c>
      <c r="AR177" s="25">
        <f>Data!I76</f>
        <v>5</v>
      </c>
      <c r="AS177" s="29">
        <f>Data!J76</f>
        <v>261</v>
      </c>
      <c r="AT177" s="27">
        <f>Data!K76</f>
        <v>513</v>
      </c>
      <c r="AU177" s="26">
        <f>Data!L76</f>
        <v>159</v>
      </c>
      <c r="AV177" s="26">
        <f>Data!M76</f>
        <v>135</v>
      </c>
      <c r="AW177" s="25">
        <f>Data!N76</f>
        <v>183</v>
      </c>
      <c r="AX177" s="26">
        <f>Data!O76</f>
        <v>216</v>
      </c>
      <c r="AY177" s="33"/>
      <c r="AZ177" s="25">
        <f>Data!Q76</f>
        <v>-30</v>
      </c>
      <c r="BA177" s="33"/>
      <c r="BB177" s="25">
        <f>Data!S76</f>
        <v>36</v>
      </c>
      <c r="BC177" s="25">
        <f>Data!T76</f>
        <v>-3</v>
      </c>
      <c r="BD177" s="25">
        <f>Data!U76</f>
        <v>64</v>
      </c>
      <c r="BE177" s="25">
        <f>Data!V76</f>
        <v>9</v>
      </c>
      <c r="BF177" s="19"/>
      <c r="BG177" s="180"/>
    </row>
    <row r="178" spans="1:59" s="99" customFormat="1" x14ac:dyDescent="0.2">
      <c r="A178" s="190" t="s">
        <v>125</v>
      </c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  <c r="AA178" s="116"/>
      <c r="AB178" s="116"/>
      <c r="AC178" s="116"/>
      <c r="AD178" s="116"/>
      <c r="AE178" s="116"/>
      <c r="AF178" s="116"/>
      <c r="AG178" s="116"/>
      <c r="AH178" s="116"/>
      <c r="AI178" s="116"/>
      <c r="AJ178" s="116"/>
      <c r="AK178" s="116"/>
      <c r="AL178" s="116"/>
      <c r="AM178" s="16"/>
      <c r="AN178" s="16"/>
      <c r="AO178" s="31">
        <f>Data!E138</f>
        <v>-2</v>
      </c>
      <c r="AP178" s="31">
        <f>Data!F138</f>
        <v>8</v>
      </c>
      <c r="AQ178" s="44">
        <f>Data!G138</f>
        <v>122</v>
      </c>
      <c r="AR178" s="31">
        <f>Data!H138</f>
        <v>91</v>
      </c>
      <c r="AS178" s="31">
        <f>Data!I138</f>
        <v>-13</v>
      </c>
      <c r="AT178" s="44">
        <f>Data!J138</f>
        <v>97</v>
      </c>
      <c r="AU178" s="31">
        <f>Data!K138</f>
        <v>-1</v>
      </c>
      <c r="AV178" s="31">
        <f>Data!L138</f>
        <v>-61</v>
      </c>
      <c r="AW178" s="16"/>
      <c r="AX178" s="16"/>
      <c r="AY178" s="16"/>
      <c r="AZ178" s="31">
        <f>Data!P138</f>
        <v>53</v>
      </c>
      <c r="BA178" s="16"/>
      <c r="BB178" s="19"/>
      <c r="BC178" s="19"/>
      <c r="BD178" s="19"/>
      <c r="BE178" s="19"/>
      <c r="BF178" s="16"/>
      <c r="BG178" s="180"/>
    </row>
    <row r="179" spans="1:59" s="99" customFormat="1" x14ac:dyDescent="0.2">
      <c r="A179" s="191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  <c r="AA179" s="117"/>
      <c r="AB179" s="117"/>
      <c r="AC179" s="117"/>
      <c r="AD179" s="117"/>
      <c r="AE179" s="117"/>
      <c r="AF179" s="117"/>
      <c r="AG179" s="117"/>
      <c r="AH179" s="117"/>
      <c r="AI179" s="117"/>
      <c r="AJ179" s="117"/>
      <c r="AK179" s="117"/>
      <c r="AL179" s="117"/>
      <c r="AM179" s="19"/>
      <c r="AN179" s="20">
        <f>Data!D139</f>
        <v>-24</v>
      </c>
      <c r="AO179" s="20">
        <f>Data!E139</f>
        <v>-2</v>
      </c>
      <c r="AP179" s="20">
        <f>Data!F139</f>
        <v>-46</v>
      </c>
      <c r="AQ179" s="21">
        <f>Data!G139</f>
        <v>358</v>
      </c>
      <c r="AR179" s="19"/>
      <c r="AS179" s="20">
        <f>Data!I139</f>
        <v>17</v>
      </c>
      <c r="AT179" s="22">
        <f>Data!J139</f>
        <v>222</v>
      </c>
      <c r="AU179" s="19"/>
      <c r="AV179" s="19"/>
      <c r="AW179" s="19"/>
      <c r="AX179" s="19"/>
      <c r="AY179" s="20">
        <f>Data!O139</f>
        <v>31</v>
      </c>
      <c r="AZ179" s="21">
        <f>Data!P139</f>
        <v>315</v>
      </c>
      <c r="BA179" s="20">
        <f>Data!Q139</f>
        <v>90</v>
      </c>
      <c r="BB179" s="19"/>
      <c r="BC179" s="19"/>
      <c r="BD179" s="19"/>
      <c r="BE179" s="19"/>
      <c r="BF179" s="19"/>
      <c r="BG179" s="180"/>
    </row>
    <row r="180" spans="1:59" s="99" customFormat="1" x14ac:dyDescent="0.2">
      <c r="A180" s="191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  <c r="AA180" s="117"/>
      <c r="AB180" s="117"/>
      <c r="AC180" s="117"/>
      <c r="AD180" s="117"/>
      <c r="AE180" s="117"/>
      <c r="AF180" s="117"/>
      <c r="AG180" s="117"/>
      <c r="AH180" s="117"/>
      <c r="AI180" s="117"/>
      <c r="AJ180" s="117"/>
      <c r="AK180" s="117"/>
      <c r="AL180" s="117"/>
      <c r="AM180" s="19"/>
      <c r="AN180" s="19"/>
      <c r="AO180" s="20">
        <f>Data!E140</f>
        <v>0</v>
      </c>
      <c r="AP180" s="20">
        <f>Data!F140</f>
        <v>-12</v>
      </c>
      <c r="AQ180" s="20">
        <f>Data!G140</f>
        <v>-9</v>
      </c>
      <c r="AR180" s="19"/>
      <c r="AS180" s="20">
        <f>Data!I140</f>
        <v>112</v>
      </c>
      <c r="AT180" s="20">
        <f>Data!J140</f>
        <v>175</v>
      </c>
      <c r="AU180" s="21">
        <f>Data!K140</f>
        <v>276</v>
      </c>
      <c r="AV180" s="19"/>
      <c r="AW180" s="19"/>
      <c r="AX180" s="20">
        <f>Data!N140</f>
        <v>84</v>
      </c>
      <c r="AY180" s="20">
        <f>Data!O140</f>
        <v>-98</v>
      </c>
      <c r="AZ180" s="22">
        <f>Data!P140</f>
        <v>199</v>
      </c>
      <c r="BA180" s="19"/>
      <c r="BB180" s="19"/>
      <c r="BC180" s="19"/>
      <c r="BD180" s="19"/>
      <c r="BE180" s="19"/>
      <c r="BF180" s="19"/>
      <c r="BG180" s="180"/>
    </row>
    <row r="181" spans="1:59" s="99" customFormat="1" x14ac:dyDescent="0.2">
      <c r="A181" s="192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3"/>
      <c r="AN181" s="25">
        <f>Data!D141</f>
        <v>-99</v>
      </c>
      <c r="AO181" s="25">
        <f>Data!E141</f>
        <v>94</v>
      </c>
      <c r="AP181" s="26">
        <f>Data!F141</f>
        <v>150</v>
      </c>
      <c r="AQ181" s="27">
        <f>Data!G141</f>
        <v>565</v>
      </c>
      <c r="AR181" s="33"/>
      <c r="AS181" s="25">
        <f>Data!I141</f>
        <v>4</v>
      </c>
      <c r="AT181" s="26">
        <f>Data!J141</f>
        <v>165</v>
      </c>
      <c r="AU181" s="25">
        <f>Data!K141</f>
        <v>-40</v>
      </c>
      <c r="AV181" s="33"/>
      <c r="AW181" s="33"/>
      <c r="AX181" s="26">
        <f>Data!N141</f>
        <v>300</v>
      </c>
      <c r="AY181" s="29">
        <f>Data!O141</f>
        <v>306</v>
      </c>
      <c r="AZ181" s="28">
        <f>Data!P141</f>
        <v>390</v>
      </c>
      <c r="BA181" s="33"/>
      <c r="BB181" s="33"/>
      <c r="BC181" s="33"/>
      <c r="BD181" s="33"/>
      <c r="BE181" s="33"/>
      <c r="BF181" s="19"/>
      <c r="BG181" s="180"/>
    </row>
    <row r="182" spans="1:59" s="97" customFormat="1" x14ac:dyDescent="0.2">
      <c r="A182" s="190" t="s">
        <v>124</v>
      </c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  <c r="AA182" s="116"/>
      <c r="AB182" s="116"/>
      <c r="AC182" s="116"/>
      <c r="AD182" s="116"/>
      <c r="AE182" s="116"/>
      <c r="AF182" s="116"/>
      <c r="AG182" s="116"/>
      <c r="AH182" s="116"/>
      <c r="AI182" s="116"/>
      <c r="AJ182" s="116"/>
      <c r="AK182" s="116"/>
      <c r="AL182" s="116"/>
      <c r="AM182" s="16"/>
      <c r="AN182" s="16"/>
      <c r="AO182" s="3">
        <f>Data!D133</f>
        <v>-99</v>
      </c>
      <c r="AP182" s="3">
        <f>Data!E133</f>
        <v>183</v>
      </c>
      <c r="AQ182" s="3">
        <f>Data!F133</f>
        <v>136</v>
      </c>
      <c r="AR182" s="8">
        <f>Data!G133</f>
        <v>319</v>
      </c>
      <c r="AS182" s="3">
        <f>Data!H133</f>
        <v>121</v>
      </c>
      <c r="AT182" s="4"/>
      <c r="AU182" s="3">
        <f>Data!J133</f>
        <v>32</v>
      </c>
      <c r="AV182" s="3">
        <f>Data!K133</f>
        <v>47</v>
      </c>
      <c r="AW182" s="4"/>
      <c r="AX182" s="3">
        <f>Data!M133</f>
        <v>17</v>
      </c>
      <c r="AY182" s="3">
        <f>Data!N133</f>
        <v>-50</v>
      </c>
      <c r="AZ182" s="7">
        <f>Data!O133</f>
        <v>354</v>
      </c>
      <c r="BA182" s="3">
        <f>Data!P133</f>
        <v>83</v>
      </c>
      <c r="BB182" s="3">
        <f>Data!Q133</f>
        <v>165</v>
      </c>
      <c r="BC182" s="3">
        <f>Data!R133</f>
        <v>-18</v>
      </c>
      <c r="BD182" s="3">
        <f>Data!S133</f>
        <v>88</v>
      </c>
      <c r="BE182" s="19"/>
      <c r="BF182" s="16"/>
      <c r="BG182" s="180"/>
    </row>
    <row r="183" spans="1:59" s="97" customFormat="1" x14ac:dyDescent="0.2">
      <c r="A183" s="191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  <c r="AA183" s="117"/>
      <c r="AB183" s="117"/>
      <c r="AC183" s="117"/>
      <c r="AD183" s="117"/>
      <c r="AE183" s="117"/>
      <c r="AF183" s="117"/>
      <c r="AG183" s="117"/>
      <c r="AH183" s="117"/>
      <c r="AI183" s="117"/>
      <c r="AJ183" s="117"/>
      <c r="AK183" s="117"/>
      <c r="AL183" s="117"/>
      <c r="AM183" s="19"/>
      <c r="AN183" s="19"/>
      <c r="AO183" s="3">
        <f>Data!D134</f>
        <v>-99</v>
      </c>
      <c r="AP183" s="3">
        <f>Data!E134</f>
        <v>33</v>
      </c>
      <c r="AQ183" s="3">
        <f>Data!F134</f>
        <v>150</v>
      </c>
      <c r="AR183" s="3">
        <f>Data!G134</f>
        <v>62</v>
      </c>
      <c r="AS183" s="3">
        <f>Data!H134</f>
        <v>-99</v>
      </c>
      <c r="AT183" s="3">
        <f>Data!I134</f>
        <v>51</v>
      </c>
      <c r="AU183" s="3">
        <f>Data!J134</f>
        <v>-55</v>
      </c>
      <c r="AV183" s="3">
        <f>Data!K134</f>
        <v>21</v>
      </c>
      <c r="AW183" s="3">
        <f>Data!L134</f>
        <v>91</v>
      </c>
      <c r="AX183" s="3">
        <f>Data!M134</f>
        <v>-99</v>
      </c>
      <c r="AY183" s="5">
        <f>Data!N134</f>
        <v>117</v>
      </c>
      <c r="AZ183" s="5">
        <f>Data!O134</f>
        <v>143</v>
      </c>
      <c r="BA183" s="20">
        <f>Data!P134</f>
        <v>-42</v>
      </c>
      <c r="BB183" s="3">
        <f>Data!Q134</f>
        <v>-3</v>
      </c>
      <c r="BC183" s="3">
        <f>Data!R134</f>
        <v>-7</v>
      </c>
      <c r="BD183" s="8">
        <f>Data!S134</f>
        <v>248</v>
      </c>
      <c r="BE183" s="19"/>
      <c r="BF183" s="19"/>
      <c r="BG183" s="180"/>
    </row>
    <row r="184" spans="1:59" s="97" customFormat="1" x14ac:dyDescent="0.2">
      <c r="A184" s="191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  <c r="AA184" s="117"/>
      <c r="AB184" s="117"/>
      <c r="AC184" s="117"/>
      <c r="AD184" s="117"/>
      <c r="AE184" s="117"/>
      <c r="AF184" s="117"/>
      <c r="AG184" s="117"/>
      <c r="AH184" s="117"/>
      <c r="AI184" s="117"/>
      <c r="AJ184" s="117"/>
      <c r="AK184" s="117"/>
      <c r="AL184" s="117"/>
      <c r="AM184" s="19"/>
      <c r="AN184" s="19"/>
      <c r="AO184" s="3">
        <f>Data!D135</f>
        <v>-55</v>
      </c>
      <c r="AP184" s="3">
        <f>Data!E135</f>
        <v>64</v>
      </c>
      <c r="AQ184" s="3">
        <f>Data!F135</f>
        <v>34</v>
      </c>
      <c r="AR184" s="3">
        <f>Data!G135</f>
        <v>-59</v>
      </c>
      <c r="AS184" s="3">
        <f>Data!H135</f>
        <v>-33</v>
      </c>
      <c r="AT184" s="3">
        <f>Data!I135</f>
        <v>106</v>
      </c>
      <c r="AU184" s="3">
        <f>Data!J135</f>
        <v>-20</v>
      </c>
      <c r="AV184" s="5">
        <f>Data!K135</f>
        <v>177</v>
      </c>
      <c r="AW184" s="5">
        <f>Data!L135</f>
        <v>104</v>
      </c>
      <c r="AX184" s="5">
        <f>Data!M135</f>
        <v>100</v>
      </c>
      <c r="AY184" s="7">
        <f>Data!N135</f>
        <v>384</v>
      </c>
      <c r="AZ184" s="3">
        <f>Data!O135</f>
        <v>-81</v>
      </c>
      <c r="BA184" s="3">
        <f>Data!P135</f>
        <v>-11</v>
      </c>
      <c r="BB184" s="4"/>
      <c r="BC184" s="3">
        <f>Data!R135</f>
        <v>3</v>
      </c>
      <c r="BD184" s="4"/>
      <c r="BE184" s="19"/>
      <c r="BF184" s="19"/>
      <c r="BG184" s="180"/>
    </row>
    <row r="185" spans="1:59" s="97" customFormat="1" x14ac:dyDescent="0.2">
      <c r="A185" s="192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3"/>
      <c r="AN185" s="33"/>
      <c r="AO185" s="4"/>
      <c r="AP185" s="3">
        <f>Data!E136</f>
        <v>79</v>
      </c>
      <c r="AQ185" s="5">
        <f>Data!F136</f>
        <v>105</v>
      </c>
      <c r="AR185" s="3">
        <f>Data!G136</f>
        <v>-72</v>
      </c>
      <c r="AS185" s="3">
        <f>Data!H136</f>
        <v>71</v>
      </c>
      <c r="AT185" s="5">
        <f>Data!I136</f>
        <v>177</v>
      </c>
      <c r="AU185" s="4"/>
      <c r="AV185" s="6">
        <f>Data!K136</f>
        <v>503</v>
      </c>
      <c r="AW185" s="8">
        <f>Data!L136</f>
        <v>224</v>
      </c>
      <c r="AX185" s="3">
        <f>Data!M136</f>
        <v>-18</v>
      </c>
      <c r="AY185" s="3">
        <f>Data!N136</f>
        <v>-2</v>
      </c>
      <c r="AZ185" s="5">
        <f>Data!O136</f>
        <v>153</v>
      </c>
      <c r="BA185" s="3">
        <f>Data!P136</f>
        <v>102</v>
      </c>
      <c r="BB185" s="3">
        <f>Data!Q136</f>
        <v>0</v>
      </c>
      <c r="BC185" s="3">
        <f>Data!R136</f>
        <v>-99</v>
      </c>
      <c r="BD185" s="25">
        <f>Data!S136</f>
        <v>136</v>
      </c>
      <c r="BE185" s="19"/>
      <c r="BF185" s="19"/>
      <c r="BG185" s="180"/>
    </row>
    <row r="186" spans="1:59" s="114" customFormat="1" x14ac:dyDescent="0.2">
      <c r="A186" s="190" t="s">
        <v>211</v>
      </c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F186" s="116"/>
      <c r="AG186" s="116"/>
      <c r="AH186" s="116"/>
      <c r="AI186" s="116"/>
      <c r="AJ186" s="116"/>
      <c r="AK186" s="116"/>
      <c r="AL186" s="1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31">
        <f>Data!D148</f>
        <v>29</v>
      </c>
      <c r="AW186" s="31">
        <f>Data!E148</f>
        <v>-16</v>
      </c>
      <c r="AX186" s="31">
        <f>Data!F148</f>
        <v>75</v>
      </c>
      <c r="AY186" s="31">
        <f>Data!G148</f>
        <v>108</v>
      </c>
      <c r="AZ186" s="31">
        <f>Data!H148</f>
        <v>21</v>
      </c>
      <c r="BA186" s="31">
        <f>Data!I148</f>
        <v>-60</v>
      </c>
      <c r="BB186" s="24">
        <f>Data!J148</f>
        <v>433</v>
      </c>
      <c r="BC186" s="31">
        <f>Data!K148</f>
        <v>75</v>
      </c>
      <c r="BD186" s="4"/>
      <c r="BE186" s="31">
        <f>Data!M148</f>
        <v>-5</v>
      </c>
      <c r="BF186" s="182">
        <f>Data!N148</f>
        <v>-27</v>
      </c>
      <c r="BG186" s="180"/>
    </row>
    <row r="187" spans="1:59" s="114" customFormat="1" x14ac:dyDescent="0.2">
      <c r="A187" s="191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  <c r="AE187" s="117"/>
      <c r="AF187" s="117"/>
      <c r="AG187" s="117"/>
      <c r="AH187" s="117"/>
      <c r="AI187" s="117"/>
      <c r="AJ187" s="117"/>
      <c r="AK187" s="117"/>
      <c r="AL187" s="117"/>
      <c r="AM187" s="19"/>
      <c r="AN187" s="19"/>
      <c r="AO187" s="19"/>
      <c r="AP187" s="19"/>
      <c r="AQ187" s="19"/>
      <c r="AR187" s="19"/>
      <c r="AS187" s="19"/>
      <c r="AT187" s="19"/>
      <c r="AU187" s="19"/>
      <c r="AV187" s="20">
        <f>Data!D149</f>
        <v>9</v>
      </c>
      <c r="AW187" s="20">
        <f>Data!E149</f>
        <v>2</v>
      </c>
      <c r="AX187" s="21">
        <f>Data!F149</f>
        <v>289</v>
      </c>
      <c r="AY187" s="21">
        <f>Data!G149</f>
        <v>285</v>
      </c>
      <c r="AZ187" s="24">
        <f>Data!H149</f>
        <v>319</v>
      </c>
      <c r="BA187" s="24">
        <f>Data!I149</f>
        <v>362</v>
      </c>
      <c r="BB187" s="22">
        <f>Data!J149</f>
        <v>132</v>
      </c>
      <c r="BC187" s="20">
        <f>Data!K149</f>
        <v>-68</v>
      </c>
      <c r="BD187" s="3">
        <f>Data!L149</f>
        <v>-90</v>
      </c>
      <c r="BE187" s="20">
        <f>Data!M149</f>
        <v>-64</v>
      </c>
      <c r="BF187" s="19"/>
      <c r="BG187" s="180"/>
    </row>
    <row r="188" spans="1:59" s="114" customFormat="1" x14ac:dyDescent="0.2">
      <c r="A188" s="191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  <c r="AA188" s="117"/>
      <c r="AB188" s="117"/>
      <c r="AC188" s="117"/>
      <c r="AD188" s="117"/>
      <c r="AE188" s="117"/>
      <c r="AF188" s="117"/>
      <c r="AG188" s="117"/>
      <c r="AH188" s="117"/>
      <c r="AI188" s="117"/>
      <c r="AJ188" s="117"/>
      <c r="AK188" s="117"/>
      <c r="AL188" s="117"/>
      <c r="AM188" s="19"/>
      <c r="AN188" s="19"/>
      <c r="AO188" s="19"/>
      <c r="AP188" s="19"/>
      <c r="AQ188" s="19"/>
      <c r="AR188" s="19"/>
      <c r="AS188" s="19"/>
      <c r="AT188" s="19"/>
      <c r="AU188" s="19"/>
      <c r="AV188" s="20">
        <f>Data!D150</f>
        <v>-99</v>
      </c>
      <c r="AW188" s="20">
        <f>Data!E150</f>
        <v>-28</v>
      </c>
      <c r="AX188" s="20">
        <f>Data!F150</f>
        <v>-44</v>
      </c>
      <c r="AY188" s="20">
        <f>Data!G150</f>
        <v>109</v>
      </c>
      <c r="AZ188" s="20">
        <f>Data!H150</f>
        <v>-95</v>
      </c>
      <c r="BA188" s="20">
        <f>Data!I150</f>
        <v>-65</v>
      </c>
      <c r="BB188" s="19"/>
      <c r="BC188" s="19"/>
      <c r="BD188" s="4"/>
      <c r="BE188" s="20">
        <f>Data!M150</f>
        <v>-5</v>
      </c>
      <c r="BF188" s="19"/>
      <c r="BG188" s="180"/>
    </row>
    <row r="189" spans="1:59" s="114" customFormat="1" x14ac:dyDescent="0.2">
      <c r="A189" s="191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  <c r="AA189" s="133"/>
      <c r="AB189" s="133"/>
      <c r="AC189" s="133"/>
      <c r="AD189" s="133"/>
      <c r="AE189" s="133"/>
      <c r="AF189" s="133"/>
      <c r="AG189" s="133"/>
      <c r="AH189" s="133"/>
      <c r="AI189" s="133"/>
      <c r="AJ189" s="133"/>
      <c r="AK189" s="133"/>
      <c r="AL189" s="133"/>
      <c r="AM189" s="19"/>
      <c r="AN189" s="19"/>
      <c r="AO189" s="19"/>
      <c r="AP189" s="19"/>
      <c r="AQ189" s="19"/>
      <c r="AR189" s="19"/>
      <c r="AS189" s="19"/>
      <c r="AT189" s="19"/>
      <c r="AU189" s="19"/>
      <c r="AV189" s="20">
        <f>Data!D151</f>
        <v>176</v>
      </c>
      <c r="AW189" s="20">
        <f>Data!E151</f>
        <v>40</v>
      </c>
      <c r="AX189" s="20">
        <f>Data!F151</f>
        <v>7</v>
      </c>
      <c r="AY189" s="20">
        <f>Data!G151</f>
        <v>40</v>
      </c>
      <c r="AZ189" s="22">
        <f>Data!H151</f>
        <v>218</v>
      </c>
      <c r="BA189" s="20">
        <f>Data!I151</f>
        <v>-87</v>
      </c>
      <c r="BB189" s="23">
        <f>Data!J151</f>
        <v>477</v>
      </c>
      <c r="BC189" s="19"/>
      <c r="BD189" s="25">
        <f>Data!L151</f>
        <v>-12</v>
      </c>
      <c r="BE189" s="25">
        <f>Data!M151</f>
        <v>28</v>
      </c>
      <c r="BF189" s="19"/>
      <c r="BG189" s="180"/>
    </row>
    <row r="190" spans="1:59" s="132" customFormat="1" x14ac:dyDescent="0.2">
      <c r="A190" s="190" t="s">
        <v>228</v>
      </c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  <c r="AA190" s="116"/>
      <c r="AB190" s="116"/>
      <c r="AC190" s="116"/>
      <c r="AD190" s="116"/>
      <c r="AE190" s="116"/>
      <c r="AF190" s="116"/>
      <c r="AG190" s="116"/>
      <c r="AH190" s="116"/>
      <c r="AI190" s="116"/>
      <c r="AJ190" s="116"/>
      <c r="AK190" s="116"/>
      <c r="AL190" s="1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31">
        <f>Data!D178</f>
        <v>-99</v>
      </c>
      <c r="AZ190" s="31">
        <f>Data!E178</f>
        <v>-57</v>
      </c>
      <c r="BA190" s="31">
        <f>Data!F178</f>
        <v>96</v>
      </c>
      <c r="BB190" s="31">
        <f>Data!G178</f>
        <v>40</v>
      </c>
      <c r="BC190" s="18">
        <f>Data!H178</f>
        <v>332</v>
      </c>
      <c r="BD190" s="7">
        <f>Data!I178</f>
        <v>294</v>
      </c>
      <c r="BE190" s="20">
        <f>Data!J178</f>
        <v>16</v>
      </c>
      <c r="BF190" s="186">
        <f>Data!K178</f>
        <v>363</v>
      </c>
      <c r="BG190" s="180"/>
    </row>
    <row r="191" spans="1:59" s="132" customFormat="1" x14ac:dyDescent="0.2">
      <c r="A191" s="191"/>
      <c r="B191" s="133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  <c r="AA191" s="133"/>
      <c r="AB191" s="133"/>
      <c r="AC191" s="133"/>
      <c r="AD191" s="133"/>
      <c r="AE191" s="133"/>
      <c r="AF191" s="133"/>
      <c r="AG191" s="133"/>
      <c r="AH191" s="133"/>
      <c r="AI191" s="133"/>
      <c r="AJ191" s="133"/>
      <c r="AK191" s="133"/>
      <c r="AL191" s="133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20">
        <f>Data!D179</f>
        <v>-99</v>
      </c>
      <c r="AZ191" s="20">
        <f>Data!E179</f>
        <v>-15</v>
      </c>
      <c r="BA191" s="20">
        <f>Data!F179</f>
        <v>-43</v>
      </c>
      <c r="BB191" s="20">
        <f>Data!G179</f>
        <v>-63</v>
      </c>
      <c r="BC191" s="22">
        <f>Data!H179</f>
        <v>262</v>
      </c>
      <c r="BD191" s="3">
        <f>Data!I179</f>
        <v>97</v>
      </c>
      <c r="BE191" s="20">
        <f>Data!J179</f>
        <v>-99</v>
      </c>
      <c r="BF191" s="20">
        <f>Data!K179</f>
        <v>133</v>
      </c>
      <c r="BG191" s="180"/>
    </row>
    <row r="192" spans="1:59" s="132" customFormat="1" x14ac:dyDescent="0.2">
      <c r="A192" s="191"/>
      <c r="B192" s="133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  <c r="AB192" s="133"/>
      <c r="AC192" s="133"/>
      <c r="AD192" s="133"/>
      <c r="AE192" s="133"/>
      <c r="AF192" s="133"/>
      <c r="AG192" s="133"/>
      <c r="AH192" s="133"/>
      <c r="AI192" s="133"/>
      <c r="AJ192" s="133"/>
      <c r="AK192" s="133"/>
      <c r="AL192" s="133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20">
        <f>Data!D180</f>
        <v>-5</v>
      </c>
      <c r="AZ192" s="20">
        <f>Data!E180</f>
        <v>97</v>
      </c>
      <c r="BA192" s="20">
        <f>Data!F180</f>
        <v>-15</v>
      </c>
      <c r="BB192" s="19"/>
      <c r="BC192" s="20">
        <f>Data!H180</f>
        <v>134</v>
      </c>
      <c r="BD192" s="4"/>
      <c r="BE192" s="21">
        <f>Data!J180</f>
        <v>238</v>
      </c>
      <c r="BF192" s="21">
        <v>278</v>
      </c>
      <c r="BG192" s="180"/>
    </row>
    <row r="193" spans="1:59" s="132" customFormat="1" x14ac:dyDescent="0.2">
      <c r="A193" s="192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25">
        <f>Data!D181</f>
        <v>-1</v>
      </c>
      <c r="AZ193" s="25">
        <f>Data!E181</f>
        <v>85</v>
      </c>
      <c r="BA193" s="28">
        <f>Data!F181</f>
        <v>195</v>
      </c>
      <c r="BB193" s="29">
        <f>Data!G181</f>
        <v>155</v>
      </c>
      <c r="BC193" s="23">
        <f>Data!H181</f>
        <v>404</v>
      </c>
      <c r="BD193" s="3">
        <f>Data!I181</f>
        <v>21</v>
      </c>
      <c r="BE193" s="28">
        <f>Data!J181</f>
        <v>406</v>
      </c>
      <c r="BF193" s="19"/>
      <c r="BG193" s="180"/>
    </row>
    <row r="194" spans="1:59" s="135" customFormat="1" x14ac:dyDescent="0.2">
      <c r="A194" s="190" t="s">
        <v>231</v>
      </c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  <c r="AA194" s="116"/>
      <c r="AB194" s="116"/>
      <c r="AC194" s="116"/>
      <c r="AD194" s="116"/>
      <c r="AE194" s="116"/>
      <c r="AF194" s="116"/>
      <c r="AG194" s="116"/>
      <c r="AH194" s="116"/>
      <c r="AI194" s="116"/>
      <c r="AJ194" s="116"/>
      <c r="AK194" s="116"/>
      <c r="AL194" s="1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31">
        <f>Data!D183</f>
        <v>-93</v>
      </c>
      <c r="BD194" s="31">
        <f>Data!E183</f>
        <v>55</v>
      </c>
      <c r="BE194" s="16"/>
      <c r="BF194" s="187">
        <f>Data!G183</f>
        <v>100</v>
      </c>
      <c r="BG194" s="180"/>
    </row>
    <row r="195" spans="1:59" s="135" customFormat="1" x14ac:dyDescent="0.2">
      <c r="A195" s="191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36"/>
      <c r="AC195" s="136"/>
      <c r="AD195" s="136"/>
      <c r="AE195" s="136"/>
      <c r="AF195" s="136"/>
      <c r="AG195" s="136"/>
      <c r="AH195" s="136"/>
      <c r="AI195" s="136"/>
      <c r="AJ195" s="136"/>
      <c r="AK195" s="136"/>
      <c r="AL195" s="136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20">
        <f>Data!D184</f>
        <v>31</v>
      </c>
      <c r="BD195" s="22">
        <f>Data!E184</f>
        <v>216</v>
      </c>
      <c r="BE195" s="21">
        <f>Data!F184</f>
        <v>271</v>
      </c>
      <c r="BF195" s="23">
        <f>Data!G184</f>
        <v>489</v>
      </c>
      <c r="BG195" s="180"/>
    </row>
    <row r="196" spans="1:59" s="135" customFormat="1" x14ac:dyDescent="0.2">
      <c r="A196" s="191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  <c r="AC196" s="136"/>
      <c r="AD196" s="136"/>
      <c r="AE196" s="136"/>
      <c r="AF196" s="136"/>
      <c r="AG196" s="136"/>
      <c r="AH196" s="136"/>
      <c r="AI196" s="136"/>
      <c r="AJ196" s="136"/>
      <c r="AK196" s="136"/>
      <c r="AL196" s="136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20">
        <f>Data!D185</f>
        <v>-1</v>
      </c>
      <c r="BD196" s="20">
        <f>Data!E185</f>
        <v>106</v>
      </c>
      <c r="BE196" s="23">
        <f>Data!F185</f>
        <v>493</v>
      </c>
      <c r="BF196" s="23">
        <v>517</v>
      </c>
      <c r="BG196" s="180"/>
    </row>
    <row r="197" spans="1:59" s="135" customFormat="1" x14ac:dyDescent="0.2">
      <c r="A197" s="192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26">
        <f>Data!D186</f>
        <v>187</v>
      </c>
      <c r="BD197" s="23">
        <f>Data!E186</f>
        <v>539</v>
      </c>
      <c r="BE197" s="21">
        <f>Data!F186</f>
        <v>244</v>
      </c>
      <c r="BF197" s="19"/>
      <c r="BG197" s="180"/>
    </row>
    <row r="198" spans="1:59" s="179" customFormat="1" x14ac:dyDescent="0.2">
      <c r="A198" s="190" t="s">
        <v>274</v>
      </c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  <c r="AA198" s="116"/>
      <c r="AB198" s="116"/>
      <c r="AC198" s="116"/>
      <c r="AD198" s="116"/>
      <c r="AE198" s="116"/>
      <c r="AF198" s="116"/>
      <c r="AG198" s="116"/>
      <c r="AH198" s="116"/>
      <c r="AI198" s="116"/>
      <c r="AJ198" s="116"/>
      <c r="AK198" s="116"/>
      <c r="AL198" s="1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4"/>
      <c r="BB198" s="3">
        <f>Data!E248</f>
        <v>-66</v>
      </c>
      <c r="BC198" s="3">
        <f>Data!F248</f>
        <v>-11</v>
      </c>
      <c r="BD198" s="44">
        <f>Data!G248</f>
        <v>77</v>
      </c>
      <c r="BE198" s="31">
        <f>Data!H248</f>
        <v>41</v>
      </c>
      <c r="BF198" s="183">
        <f>Data!I248</f>
        <v>542</v>
      </c>
      <c r="BG198" s="180"/>
    </row>
    <row r="199" spans="1:59" s="179" customFormat="1" x14ac:dyDescent="0.2">
      <c r="A199" s="191"/>
      <c r="B199" s="181"/>
      <c r="C199" s="181"/>
      <c r="D199" s="181"/>
      <c r="E199" s="181"/>
      <c r="F199" s="181"/>
      <c r="G199" s="181"/>
      <c r="H199" s="181"/>
      <c r="I199" s="181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  <c r="AA199" s="181"/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4"/>
      <c r="BB199" s="5">
        <f>Data!E249</f>
        <v>193</v>
      </c>
      <c r="BC199" s="3">
        <f>Data!F249</f>
        <v>26</v>
      </c>
      <c r="BD199" s="3">
        <f>Data!G249</f>
        <v>45</v>
      </c>
      <c r="BE199" s="3">
        <f>Data!H249</f>
        <v>-78</v>
      </c>
      <c r="BF199" s="8">
        <f>Data!I249</f>
        <v>227</v>
      </c>
      <c r="BG199" s="180"/>
    </row>
    <row r="200" spans="1:59" s="179" customFormat="1" x14ac:dyDescent="0.2">
      <c r="A200" s="191"/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4"/>
      <c r="BB200" s="4"/>
      <c r="BC200" s="3">
        <f>Data!F250</f>
        <v>-48</v>
      </c>
      <c r="BD200" s="5">
        <f>Data!G250</f>
        <v>197</v>
      </c>
      <c r="BE200" s="8">
        <f>Data!H250</f>
        <v>67</v>
      </c>
      <c r="BF200" s="5">
        <v>181</v>
      </c>
      <c r="BG200" s="180"/>
    </row>
    <row r="201" spans="1:59" s="179" customFormat="1" x14ac:dyDescent="0.2">
      <c r="A201" s="192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">
        <f>Data!D251</f>
        <v>-23</v>
      </c>
      <c r="BB201" s="3">
        <f>Data!E251</f>
        <v>-11</v>
      </c>
      <c r="BC201" s="3">
        <f>Data!F251</f>
        <v>81</v>
      </c>
      <c r="BD201" s="5">
        <f>Data!G251</f>
        <v>73</v>
      </c>
      <c r="BE201" s="3">
        <f>Data!H251</f>
        <v>146</v>
      </c>
      <c r="BF201" s="4"/>
      <c r="BG201" s="180"/>
    </row>
    <row r="202" spans="1:59" ht="16" customHeight="1" x14ac:dyDescent="0.2">
      <c r="A202" s="193" t="s">
        <v>50</v>
      </c>
      <c r="AG202" s="13">
        <f>(SUM(B209:AH209,AH216,AH216)/COUNT(B209:AH209,AH216,AH216)/4)</f>
        <v>-18.114486780098353</v>
      </c>
      <c r="AH202" s="193" t="s">
        <v>139</v>
      </c>
      <c r="AI202" s="193"/>
      <c r="AJ202" s="193"/>
      <c r="AK202" s="69">
        <f>SUM(AJ209:BD209,AJ216,AJ216)/COUNT(AJ209:BA209,AJ216,AJ216)/4</f>
        <v>4.7794611623440719</v>
      </c>
      <c r="BA202" s="116"/>
      <c r="BB202" s="116"/>
      <c r="BC202" s="116"/>
      <c r="BD202" s="16"/>
      <c r="BE202" s="16"/>
      <c r="BF202" s="16"/>
    </row>
    <row r="203" spans="1:59" x14ac:dyDescent="0.2">
      <c r="A203" s="189"/>
      <c r="AH203" s="193"/>
      <c r="AI203" s="193"/>
      <c r="AJ203" s="193"/>
      <c r="BD203" s="19"/>
      <c r="BE203" s="19"/>
    </row>
    <row r="204" spans="1:59" ht="16" customHeight="1" x14ac:dyDescent="0.2">
      <c r="A204" s="13" t="s">
        <v>52</v>
      </c>
      <c r="B204" s="37">
        <f>AVERAGE(B9,B16,B12, B20,B32:B35,B4:B5,B28)</f>
        <v>12.2</v>
      </c>
      <c r="C204" s="37">
        <f>AVERAGE(C10,C12,C19:C23, C31:C37,C4:C5,C27:C29,C38:C39,C45)</f>
        <v>11.5</v>
      </c>
      <c r="D204" s="37">
        <f>AVERAGE(D48,D53,D8:D9,D24, D20,D36,D30:D32,D5,D27:D28,D39:D40,D45)</f>
        <v>25.066666666666666</v>
      </c>
      <c r="E204" s="37">
        <f>AVERAGE(E53,E6,E17,E14,E24,E20,E36:E37,E2:E4,E28,E39:E40,E45,E57)</f>
        <v>-14.6</v>
      </c>
      <c r="F204" s="37">
        <f>AVERAGE(F47:F51,F53,F13,F9, F21,F17,F35,F4:F5,F29,F44,F40:F41,F57)</f>
        <v>3.4705882352941178</v>
      </c>
      <c r="G204" s="37">
        <f>AVERAGE(G51,G59,G61,G15,G9:G10,G23:G31,G3,G47:G49,G45,G41,G36:G37,G57,G65)</f>
        <v>4.5</v>
      </c>
      <c r="H204" s="37">
        <f>AVERAGE(H36:H37,H58,H60:H61,H21:H24,H19,H31,H28:H29,H39:H40,H43:H44,H47:H49,H56:H57,H65)</f>
        <v>21.272727272727273</v>
      </c>
      <c r="I204" s="37">
        <f>AVERAGE(I9,I12,I31:I36,I19:I21,I27,I25,I66:I68,I40,I43,I45,I56:I57,I65)</f>
        <v>-9.65</v>
      </c>
      <c r="J204" s="37">
        <f>AVERAGE(J30:J33, J15:J19,J23:J25,J67:J69,J45,J40:J41,J57,J64:J65)</f>
        <v>-17.555555555555557</v>
      </c>
      <c r="K204" s="37">
        <f>AVERAGE(K48,K75,K77,K8,K13,K37,K67:K69,K61,K44:K45,K40:K41,K57,K62:K65,K71)</f>
        <v>4.5999999999999996</v>
      </c>
      <c r="L204" s="37">
        <f>AVERAGE(L48:L49,L76,L79,L16,L10, L23:L25,L84,L31:L33,L29,L19:L20,L66:L69,L42:L45,L39:L41,L63:L65,L70:L73)</f>
        <v>-2.8484848484848486</v>
      </c>
      <c r="M204" s="37">
        <f>AVERAGE(M48:M49,M76,M79:M81,M23:M37,M83:M84,M67:M69,M39,M41,M56,M63:M65,M71:M73,M89)</f>
        <v>4.3</v>
      </c>
      <c r="N204" s="37">
        <f>AVERAGE(N49,N75,N78:N80,N32:N37,N84,N27,N66:N68,N39:N40,N54,N56:N57,N64:N65,N70:N73,N87:N89)</f>
        <v>21.111111111111111</v>
      </c>
      <c r="O204" s="37">
        <f>AVERAGE(O32:O44,O80:O81,O85:O92,O27,O67:O69,O46:O49,O55:O56,O64:O65,O72:O73,O94,)</f>
        <v>-8.6060606060606055</v>
      </c>
      <c r="P204" s="37">
        <f>AVERAGE(P79,P92:P93,P32:P37,P85,P69,P66,P44:P45,P39,P57,P65,P73,P97,P87:P88)</f>
        <v>-7.25</v>
      </c>
      <c r="Q204" s="37">
        <f>AVERAGE(Q48:Q49,Q52,Q77,Q92,Q98:Q101,Q32:Q37,Q84:Q85,Q27,Q66:Q68,Q45,Q42,Q54:Q57,Q62:Q65,Q94:Q97,Q87:Q89)</f>
        <v>-4.8125</v>
      </c>
      <c r="R204" s="37">
        <f>AVERAGE(R47:R49,R78,R92,R99:R101,R104,R84:R85,R66:R68,R45,R35:R37,R54:R57,R64:R65,R95,)</f>
        <v>-9.5652173913043477</v>
      </c>
      <c r="S204" s="37">
        <f>AVERAGE(S37:S49,S80,S92,S100:S103,S105,S84:S85,S66:S68,S55:S57,S64:S65,S71:S72,S96,S87)</f>
        <v>-4.083333333333333</v>
      </c>
      <c r="T204" s="37">
        <f>AVERAGE(T48:T53,T88:T93,T64:T65,T67:T68,T77,T71:T73,T97,T99:T100,T109,T84:T85)</f>
        <v>-34.31818181818182</v>
      </c>
      <c r="U204" s="37">
        <f>AVERAGE(U47,U75,U99,U102,U104:U113,U82:U85,U66,U72,U95,U97,U88:U89)</f>
        <v>-12.7</v>
      </c>
      <c r="V204" s="37">
        <f>AVERAGE(V47:V52,V75:V77,V99,V101:V103,V105,V121,V111:V117,V82:V85,V70:V73,V95,V87:V89)</f>
        <v>4.0434782608695654</v>
      </c>
      <c r="W204" s="37">
        <f>AVERAGE(W107,W112:W129,W82:W90,W77,W93,W101:W102,W47:W52,W70:W71,W94,)</f>
        <v>-20.382352941176471</v>
      </c>
      <c r="X204" s="37">
        <f>AVERAGE(X112:X120,X103,X101,X99,X93,X74:X76,X122:X129,X71:X73,X96:X97,X88:X89,X86,)</f>
        <v>-14.32258064516129</v>
      </c>
      <c r="Y204" s="37">
        <f>AVERAGE(Y119:Y120,Y112:Y114,Y105,Y90:Y91,Y75:Y77,Y51:Y52,Y109,Y94:Y96,Y89,Y122,Y126:Y129)</f>
        <v>5.5909090909090908</v>
      </c>
      <c r="Z204" s="37">
        <f>AVERAGE(Z116,Z105,Z102,Z99,Z79:Z80,Z77,Z75,Z51:Z53,Z110:Z112,Z127:Z130,Z94:Z96,Z86:Z87,Z125,Z123,)</f>
        <v>-14.791666666666666</v>
      </c>
      <c r="AA204" s="13">
        <f>AVERAGE(AA117,AA109:AA112,AA105,AA101:AA103,AA78:AA93,AA123,AA125,AA126,AA129,AA130:AA133,AA135)</f>
        <v>-25.363636363636363</v>
      </c>
      <c r="AB204" s="13">
        <f>AVERAGE(AB121,AB116:AB117,AB105:AB108,AB99:AB101,AB78:AB93,AB111,AB113,AB134:AB137,AB130:AB133,AB128:AB129,AB122:AB124)</f>
        <v>7.5</v>
      </c>
      <c r="AC204" s="13">
        <f>AVERAGE(AC119,AC115:AC116,AC90:AC103,AC112,AC122:AC125,AC130:AC133,AC137,AC129)</f>
        <v>-12.615384615384615</v>
      </c>
      <c r="AD204" s="13">
        <f>AVERAGE(AD116:AD118,AD107:AD108,AD104,AD91:AD100,AD139,AD111:AD112,AD136,AD130:AD133,AD127:AD129,AD124:AD125)</f>
        <v>-2.5454545454545454</v>
      </c>
      <c r="AE204" s="37">
        <f>AVERAGE(AE136:AE138,AE109,AE102,AE140:AE141,AE111:AE112,AE114:AE117,AE94:AE96,AE142,AE132,AE130,AE129,AE126,AE122,AE121,AE119)</f>
        <v>-18.695652173913043</v>
      </c>
      <c r="AF204" s="37">
        <f>AVERAGE(AF119,AF106:AF116,AF138:AF141,AF142,AF147:AF149,AF135:AF137,AF130:AF132,AF126:AF129)</f>
        <v>-10.321428571428571</v>
      </c>
      <c r="AG204" s="37">
        <f>AVERAGE(AG142:AG156,AG110:AG119,AG104:AG106,AG138,AG135:AG136,AG133,AG130:AG131)</f>
        <v>-3.5714285714285716</v>
      </c>
      <c r="AH204" s="37">
        <f>AVERAGE(AH150:AH161,AH119,AH109:AH114,AH107,AH140:AH144,AH136:AH138,AH133,AH131,AH127,AH148,AH146)</f>
        <v>-28.2</v>
      </c>
      <c r="AI204" s="37"/>
      <c r="AJ204" s="37">
        <f>AVERAGE(AJ134:AJ143,AJ118:AJ120,AJ108,AJ148:AJ160,AJ110:AJ113)</f>
        <v>-5.5666666666666664</v>
      </c>
      <c r="AK204" s="37">
        <f>AVERAGE(AK157,AK138:AK144,AK108,AK154:AK155,AK164:AK165,AK159,AK111:AK113)</f>
        <v>-15.875</v>
      </c>
      <c r="AL204" s="37">
        <f>AVERAGE(AL162:AL165,AL155,AL107,AL141:AL142,AL138,AL159,AL153,AL147:AL150)</f>
        <v>-8.4615384615384617</v>
      </c>
      <c r="AM204" s="37">
        <f>AVERAGE(AM164:AM177,AM161:AM162,AM107,AM139:AM141,AM159)</f>
        <v>-2.7647058823529411</v>
      </c>
      <c r="AN204" s="37">
        <f>AVERAGE(AN168:AN181,AN166,AN108:AN109,AN142:AN143,AN158:AN160,AN147:AN153)</f>
        <v>17.148148148148149</v>
      </c>
      <c r="AO204" s="37">
        <f>AVERAGE(AO170:AO185,AO165:AO166,AO142:AO145,AO159)</f>
        <v>17.7</v>
      </c>
      <c r="AP204" s="37">
        <f>AVERAGE(AP170:AP175,AP168,AP139,AP142:AP144,AP158:AP160,AP182:AP185,AP178:AP180)</f>
        <v>33.200000000000003</v>
      </c>
      <c r="AQ204" s="37">
        <f>AVERAGE(AQ177,AQ170:AQ174,AQ167,AQ163,AQ142:AQ143,AQ145,AQ161,AQ159,AQ180,AQ182:AQ184)</f>
        <v>30.470588235294116</v>
      </c>
      <c r="AR204" s="37">
        <f>AVERAGE(AR177:AR178,AR175,AR170:AR172,AR142:AR145,AR159:AR161,AR183:AR185)</f>
        <v>21.25</v>
      </c>
      <c r="AS204" s="37">
        <f>AVERAGE(AS171:AS173,AS142:AS144,AS158:AS160,AS178:AS185)</f>
        <v>10</v>
      </c>
      <c r="AT204" s="37">
        <f>AVERAGE(AT170:AT173,AT164,AT142:AT145,AT158:AT161,AT183:AT184,AT180)</f>
        <v>40.5625</v>
      </c>
      <c r="AU204" s="37">
        <f>AVERAGE(AU156:AU157,AU164,AU170,AU172,AU142:AU145,AU181:AU185,AU178)</f>
        <v>-4.2857142857142856</v>
      </c>
      <c r="AV204" s="37">
        <f>AVERAGE(AV164,AV155,AV171,AV142:AV145,AV178:AV183,AV186:AV189)</f>
        <v>6.4285714285714288</v>
      </c>
      <c r="AW204" s="37">
        <f>AVERAGE(AW177:AW183,AW164:AW165,AW142:AW154,AW186:AW189)</f>
        <v>16.333333333333332</v>
      </c>
      <c r="AX204" s="37">
        <f>AVERAGE(AX168,AX162:AX165,AX170,AX172,AX142,AX182:AX183,AX185:AX186,AX180,AX188:AX189)</f>
        <v>-3.5</v>
      </c>
      <c r="AY204" s="37">
        <f>AVERAGE(AY174,AY166,AY164,AY172,AY182,AY185:AY186,AY179:AY180,AY188:AY189)</f>
        <v>16.727272727272727</v>
      </c>
      <c r="AZ204" s="37">
        <f>AVERAGE(AZ166,AZ170:AZ173,AZ184:AZ185,AZ177:AZ178,AZ186:AZ186,AZ157,AZ188)</f>
        <v>8.3333333333333339</v>
      </c>
      <c r="BA204" s="37">
        <f>AVERAGE(BA182:BA183,BA174,BA170,BA154,BA179,BA186,BA201)</f>
        <v>7.75</v>
      </c>
      <c r="BB204" s="118">
        <f>AVERAGE(BB182:BB183,BB185,BB175:BB177,BB169,BB171,BB198,BB201)</f>
        <v>17.111111111111111</v>
      </c>
      <c r="BC204" s="118">
        <f>AVERAGE(BC186:BC187,BC182:BC185,BC170,BC176:BC177,BC155,BC192,BC194:BC196,BC198:BC201)</f>
        <v>6.1111111111111107</v>
      </c>
      <c r="BD204" s="141">
        <f>AVERAGE(BD196,BD193:BD194,BD191,BD185:BD189,BD182,BD170:BD177,BD165,BD199)</f>
        <v>19.6875</v>
      </c>
      <c r="BE204" s="141">
        <f>AVERAGE(BE190:BE191,BE186:BE189,BE174:BE177,BE170:BE173,BE162,BE198:BE199,BE201)</f>
        <v>9.9411764705882355</v>
      </c>
      <c r="BF204" s="141">
        <f>AVERAGE(BF191,BF186,BF174:BF175,BF170:BF171,BF163)</f>
        <v>-10.142857142857142</v>
      </c>
      <c r="BG204" s="37">
        <f>Ranking!AV53</f>
        <v>6.6269277377380851</v>
      </c>
    </row>
    <row r="205" spans="1:59" ht="17" x14ac:dyDescent="0.2">
      <c r="A205" s="13" t="s">
        <v>34</v>
      </c>
      <c r="B205" s="37">
        <f>AVERAGE(B17,B26)</f>
        <v>124</v>
      </c>
      <c r="C205" s="37">
        <f>AVERAGE(C13:C15,C3)</f>
        <v>161</v>
      </c>
      <c r="D205" s="37">
        <f>AVERAGE(D14,D23,D25,D33:D35)</f>
        <v>172.2</v>
      </c>
      <c r="E205" s="37">
        <f>AVERAGE(E8,E23,E31,E29)</f>
        <v>182.75</v>
      </c>
      <c r="F205" s="37">
        <f>AVERAGE(F52,F19,F31,F33,F45,F14,F39)</f>
        <v>198.14285714285714</v>
      </c>
      <c r="G205" s="37">
        <f>AVERAGE(G52:G53,G60, G19)</f>
        <v>114.75</v>
      </c>
      <c r="H205" s="37">
        <f>AVERAGE(H14:H16, H25,H20,H33:H35)</f>
        <v>149.5</v>
      </c>
      <c r="I205" s="37">
        <f>AVERAGE(I48,I60,I37)</f>
        <v>182.66666666666666</v>
      </c>
      <c r="J205" s="13">
        <f>AVERAGE(J47:J48,J52,J59, J21,J27:J29,J56)</f>
        <v>153.25</v>
      </c>
      <c r="K205" s="37">
        <f>AVERAGE(K14,K10, K22,K35:K36,K29,K66,K39)</f>
        <v>86.875</v>
      </c>
      <c r="L205" s="37">
        <f>AVERAGE(L36,L85,L27)</f>
        <v>103.66666666666667</v>
      </c>
      <c r="M205" s="37">
        <f>AVERAGE(M47,M61,M85,M66,M40)</f>
        <v>88.8</v>
      </c>
      <c r="N205" s="37">
        <f>AVERAGE(N47,N81,N44:N45)</f>
        <v>111</v>
      </c>
      <c r="O205" s="37">
        <f>AVERAGE(O51,O75,O84,O45,O71)</f>
        <v>135.80000000000001</v>
      </c>
      <c r="P205" s="37">
        <f>AVERAGE(P51,P84,P55:P56,P62:P64,P71,P94)</f>
        <v>132.375</v>
      </c>
      <c r="Q205" s="37">
        <f>AVERAGE(Q47,Q51,Q75,Q79,Q93,Q82,Q44,Q73)</f>
        <v>123.375</v>
      </c>
      <c r="R205" s="37">
        <f>AVERAGE(R93:R94,R102,R71,R98,R87:R89)</f>
        <v>97.5</v>
      </c>
      <c r="S205" s="37">
        <f>AVERAGE(S74,S76,S99,S82,S73)</f>
        <v>67</v>
      </c>
      <c r="T205" s="37">
        <f>AVERAGE(T103,T47,T96,T87)</f>
        <v>143.25</v>
      </c>
      <c r="U205" s="37">
        <f>AVERAGE(U92,U77,U51,U70:U71,U87)</f>
        <v>142.33333333333334</v>
      </c>
      <c r="V205" s="37">
        <f>AVERAGE(V92,V79,V53,V96)</f>
        <v>90.5</v>
      </c>
      <c r="W205" s="37">
        <f>AVERAGE(W98,W91:W92,W74,W53,W73)</f>
        <v>142.5</v>
      </c>
      <c r="X205" s="13">
        <f>AVERAGE(X102,X81,X111)</f>
        <v>136.33333333333334</v>
      </c>
      <c r="Y205" s="13">
        <f>AVERAGE(Y121,Y116,Y108,Y99,Y111,Y125)</f>
        <v>153.33333333333334</v>
      </c>
      <c r="Z205" s="13">
        <f>AVERAGE(Z119,Z109,Z104,Z100,Z81,Z78,Z74,Z124,Z122)</f>
        <v>167.44444444444446</v>
      </c>
      <c r="AA205" s="13">
        <f>AVERAGE(AA119,AA108,AA99,AA113,AA124)</f>
        <v>177.2</v>
      </c>
      <c r="AB205" s="13">
        <f>AVERAGE(AB119,AB112)</f>
        <v>102.5</v>
      </c>
      <c r="AC205" s="13">
        <f>AVERAGE(AC113:AC114,AC107,AC136,AC134)</f>
        <v>145.4</v>
      </c>
      <c r="AD205" s="13">
        <f>AVERAGE(AD120,AD114:AD115,AD101,AD134)</f>
        <v>168.4</v>
      </c>
      <c r="AE205" s="13">
        <f>AVERAGE(AE104)</f>
        <v>170</v>
      </c>
      <c r="AF205" s="13">
        <f>AVERAGE(AF118)</f>
        <v>156</v>
      </c>
      <c r="AG205" s="37">
        <f>AVERAGE(AG139:AG141)</f>
        <v>76.666666666666671</v>
      </c>
      <c r="AH205" s="37">
        <f>AVERAGE(AH147,AH135)</f>
        <v>231.5</v>
      </c>
      <c r="AJ205" s="13">
        <f>AVERAGE(AJ107,AJ161)</f>
        <v>145</v>
      </c>
      <c r="AK205" s="13">
        <f>AVERAGE(AK107,AK145)</f>
        <v>169.5</v>
      </c>
      <c r="AL205" s="13">
        <f>AVERAGE(AL109,AL139,AL143:AL144,AL161,AL158)</f>
        <v>186.16666666666666</v>
      </c>
      <c r="AM205" s="13">
        <f>AVERAGE(AM106)</f>
        <v>232</v>
      </c>
      <c r="AN205" s="13">
        <f>AVERAGE(AN167,AN165,AN144:AN145)</f>
        <v>173.25</v>
      </c>
      <c r="AO205" s="13">
        <f>AVERAGE(AO160:AO162)</f>
        <v>162</v>
      </c>
      <c r="AP205" s="13">
        <f>AVERAGE(AP176,AP161,AP181)</f>
        <v>208</v>
      </c>
      <c r="AQ205" s="13">
        <f>AVERAGE(AQ175,AQ168,AQ166,AQ144,AQ185,AQ178)</f>
        <v>123.83333333333333</v>
      </c>
      <c r="AR205" s="13">
        <f>AVERAGE(AR166:AR167,AR162,AR155:AR156,AR173,AR158)</f>
        <v>160.28571428571428</v>
      </c>
      <c r="AS205" s="13">
        <f>AVERAGE(AS161:AS162,AS156,AS170)</f>
        <v>170.25</v>
      </c>
      <c r="AT205" s="13">
        <f>AVERAGE(AT175,AT157,AT185,AT181,AT178:AT179)</f>
        <v>166.16666666666666</v>
      </c>
      <c r="AU205" s="13">
        <f>AVERAGE(AU177,AU155,AU171)</f>
        <v>186</v>
      </c>
      <c r="AV205" s="13">
        <f>AVERAGE(AV176:AV177,AV172:AV174,AV166,AV184)</f>
        <v>154</v>
      </c>
      <c r="AW205" s="13">
        <f>AVERAGE(AW162:AW163,AW155,AW172,AW184)</f>
        <v>144.4</v>
      </c>
      <c r="AX205" s="13">
        <f>AVERAGE(AX177,AX184,AX181)</f>
        <v>205.33333333333334</v>
      </c>
      <c r="AY205" s="13">
        <f>AVERAGE(AY176,AY167:AY168,AY157,AY183)</f>
        <v>140.6</v>
      </c>
      <c r="AZ205" s="13">
        <f>AVERAGE(AZ167,AZ156,AZ183,AZ180,AZ162,AZ189)</f>
        <v>178.83333333333334</v>
      </c>
      <c r="BA205" s="110">
        <f>AVERAGE(BA171)</f>
        <v>219</v>
      </c>
      <c r="BB205" s="117">
        <f>AVERAGE(BB170,BB162,BB187,BB199)</f>
        <v>182</v>
      </c>
      <c r="BC205" s="126">
        <f>AVERAGE(BC162,BC156,BC191,BC197)</f>
        <v>215.25</v>
      </c>
      <c r="BD205" s="19">
        <f>AVERAGE(BD195,BD167,BD198,BD200:BD201)</f>
        <v>143.4</v>
      </c>
      <c r="BE205" s="19"/>
      <c r="BF205" s="19">
        <f>AVERAGE(BF194,BF167)</f>
        <v>147.5</v>
      </c>
      <c r="BG205" s="37">
        <f>Ranking!AU53</f>
        <v>154.80267356100688</v>
      </c>
    </row>
    <row r="206" spans="1:59" ht="17" x14ac:dyDescent="0.2">
      <c r="A206" s="13" t="s">
        <v>35</v>
      </c>
      <c r="B206" s="37">
        <f>AVERAGE(B13,B24,B3)</f>
        <v>245.33333333333334</v>
      </c>
      <c r="C206" s="37">
        <f>AVERAGE(C17,C24:C25)</f>
        <v>272.33333333333331</v>
      </c>
      <c r="D206" s="37">
        <f>AVERAGE(D17,D4)</f>
        <v>278.5</v>
      </c>
      <c r="E206" s="37">
        <f>AVERAGE(E12,E25)</f>
        <v>259</v>
      </c>
      <c r="F206" s="37">
        <f>AVERAGE(F20,F27:F28)</f>
        <v>144.66666666666666</v>
      </c>
      <c r="G206" s="37">
        <f>AVERAGE(G13,G33,G39)</f>
        <v>260</v>
      </c>
      <c r="H206" s="37">
        <f>AVERAGE(H17,H32,H45)</f>
        <v>262</v>
      </c>
      <c r="I206" s="37">
        <f>AVERAGE(I49,I61,I10,I39,I44)</f>
        <v>215.4</v>
      </c>
      <c r="J206" s="13">
        <f>AVERAGE(J49,J10,J37,J44)</f>
        <v>212.75</v>
      </c>
      <c r="K206" s="13">
        <f>AVERAGE(K76,K56)</f>
        <v>229.5</v>
      </c>
      <c r="L206" s="13">
        <f>AVERAGE(L77, L22,L56:L57)</f>
        <v>207.5</v>
      </c>
      <c r="M206" s="37">
        <f>AVERAGE(M51:M53,M45,M55)</f>
        <v>277.8</v>
      </c>
      <c r="N206" s="37">
        <f>AVERAGE(N46,N51:N53,N85)</f>
        <v>237</v>
      </c>
      <c r="O206" s="37">
        <f>AVERAGE(O52:O53,O66,O57)</f>
        <v>203</v>
      </c>
      <c r="P206" s="37">
        <f>AVERAGE(P49,P77,P68)</f>
        <v>200.66666666666666</v>
      </c>
      <c r="Q206" s="37">
        <f>AVERAGE(Q74,Q80)</f>
        <v>118</v>
      </c>
      <c r="R206" s="37">
        <f>AVERAGE(R51,R53,R80,R91,R82,R96:R97)</f>
        <v>232.71428571428572</v>
      </c>
      <c r="S206" s="37">
        <f>AVERAGE(S51:S53,S75,S78,S93)</f>
        <v>205.83333333333334</v>
      </c>
      <c r="T206" s="37">
        <f>AVERAGE(T105,T101,T83)</f>
        <v>174.66666666666666</v>
      </c>
      <c r="U206" s="37">
        <f>AVERAGE(U103,U100:U101,U78,U52:U53)</f>
        <v>219.83333333333334</v>
      </c>
      <c r="V206" s="37">
        <f>AVERAGE(V107:V109,V98,V80,V78)</f>
        <v>185.4</v>
      </c>
      <c r="W206" s="37">
        <f>AVERAGE(W109,W103,W80,W76)</f>
        <v>172.75</v>
      </c>
      <c r="X206" s="13">
        <f>AVERAGE(X105,X90,X80,X77,X70)</f>
        <v>239.2</v>
      </c>
      <c r="Y206" s="13">
        <f>AVERAGE(Y103,Y100,Y98,Y81,Y53,Y123)</f>
        <v>230.5</v>
      </c>
      <c r="Z206" s="13">
        <f>AVERAGE(Z120,Z117,Z107,Z76,Z113)</f>
        <v>272</v>
      </c>
      <c r="AA206" s="13">
        <f>AVERAGE(AA118,AA100,AA122)</f>
        <v>212.66666666666666</v>
      </c>
      <c r="AB206" s="13">
        <f>AVERAGE(AB114:AB115,AB104,AB98)</f>
        <v>225.5</v>
      </c>
      <c r="AC206" s="13">
        <f>AVERAGE(AC117,AC108,AC105,AC110,AC127,AC135)</f>
        <v>225.66666666666666</v>
      </c>
      <c r="AD206" s="13">
        <f>AVERAGE(AD119,AD109,AD106)</f>
        <v>234.33333333333334</v>
      </c>
      <c r="AE206" s="103">
        <f>AVERAGE(AE113,AE110,AE131,AE124)</f>
        <v>208.25</v>
      </c>
      <c r="AF206" s="13">
        <f>AVERAGE(AF121)</f>
        <v>179</v>
      </c>
      <c r="AG206" s="142">
        <f>AVERAGE(AG137,AG132)</f>
        <v>276</v>
      </c>
      <c r="AH206" s="37">
        <f>AVERAGE(AH118,AH108,AH145)</f>
        <v>207.66666666666666</v>
      </c>
      <c r="AJ206" s="84">
        <f>AVERAGE(AJ145,AJ147)</f>
        <v>231.5</v>
      </c>
      <c r="AK206" s="13">
        <f>AVERAGE(AK109,AK160,AK158)</f>
        <v>236.33333333333334</v>
      </c>
      <c r="AL206" s="13">
        <f>AVERAGE(AL106)</f>
        <v>118</v>
      </c>
      <c r="AM206" s="13">
        <f>AVERAGE(AM144:AM155,AM158)</f>
        <v>150.54545454545453</v>
      </c>
      <c r="AO206" s="13">
        <f>AVERAGE(AO167:AO168,AO158)</f>
        <v>223.66666666666666</v>
      </c>
      <c r="AP206" s="13">
        <f>AVERAGE(AP169,AP167,AP165,AP162,AP154)</f>
        <v>218.6</v>
      </c>
      <c r="AQ206" s="13">
        <f>AVERAGE(AQ176,AQ169,AQ165,AQ158,AQ179)</f>
        <v>272</v>
      </c>
      <c r="AR206" s="13">
        <f>AVERAGE(AR176,AR168,AR157,AR182)</f>
        <v>259.25</v>
      </c>
      <c r="AS206" s="13">
        <f>AVERAGE(AS175:AS177,AS167,AS157,AS154)</f>
        <v>270.66666666666669</v>
      </c>
      <c r="AT206" s="13">
        <f>AVERAGE(AT174,AT168,AT154:AT155)</f>
        <v>218.5</v>
      </c>
      <c r="AU206" s="13">
        <f>AVERAGE(AU167,AU154,AU173,AU180)</f>
        <v>316.75</v>
      </c>
      <c r="AV206" s="13">
        <f>AVERAGE(AV175,AV169,AV157,AV154)</f>
        <v>242</v>
      </c>
      <c r="AW206" s="13">
        <f>AVERAGE(AW175:AW176,AW173,AW170,AW185)</f>
        <v>262.39999999999998</v>
      </c>
      <c r="AX206" s="13">
        <f>AVERAGE(AX154:AX156,AX171,AX187)</f>
        <v>279.5</v>
      </c>
      <c r="AY206" s="13">
        <f>AVERAGE(AY175,AY170,AY181,AY187)</f>
        <v>301</v>
      </c>
      <c r="AZ206" s="13">
        <f>AVERAGE(AZ164:AZ165,AZ179)</f>
        <v>242</v>
      </c>
      <c r="BA206" s="110">
        <f>AVERAGE(BA167,BA155)</f>
        <v>205</v>
      </c>
      <c r="BB206" s="117">
        <f>AVERAGE(BB154)</f>
        <v>189</v>
      </c>
      <c r="BC206" s="130">
        <f>AVERAGE(BC163)</f>
        <v>330</v>
      </c>
      <c r="BD206" s="19">
        <f>AVERAGE(BD183,BD164)</f>
        <v>284.5</v>
      </c>
      <c r="BE206" s="19">
        <f>AVERAGE(BE195,BE192,BE197,BE200)</f>
        <v>205</v>
      </c>
      <c r="BF206" s="19">
        <f>AVERAGE(BF199,BF166)</f>
        <v>269.5</v>
      </c>
      <c r="BG206" s="37">
        <f>Ranking!AT53</f>
        <v>236.60944026733503</v>
      </c>
    </row>
    <row r="207" spans="1:59" ht="17" x14ac:dyDescent="0.2">
      <c r="A207" s="13" t="s">
        <v>27</v>
      </c>
      <c r="B207" s="37">
        <f>AVERAGE(B7)</f>
        <v>352</v>
      </c>
      <c r="C207" s="37">
        <f>AVERAGE(C16,C11,C2)</f>
        <v>382.66666666666669</v>
      </c>
      <c r="D207" s="37">
        <f>AVERAGE(D12)</f>
        <v>359</v>
      </c>
      <c r="E207" s="37">
        <f>AVERAGE(E21:E22,E35,E32)</f>
        <v>386.25</v>
      </c>
      <c r="F207" s="37">
        <f>AVERAGE(F25,F36)</f>
        <v>390.5</v>
      </c>
      <c r="G207" s="37">
        <f>AVERAGE(G21)</f>
        <v>305</v>
      </c>
      <c r="H207" s="37">
        <f>AVERAGE(H12:H13,H27)</f>
        <v>385</v>
      </c>
      <c r="I207" s="37">
        <f>AVERAGE(I47,I50:I53)</f>
        <v>317.75</v>
      </c>
      <c r="J207" s="13">
        <f>AVERAGE(J61,J14,J36)</f>
        <v>306.33333333333331</v>
      </c>
      <c r="K207" s="13">
        <f>AVERAGE(K46,K52:K53)</f>
        <v>288.66666666666669</v>
      </c>
      <c r="L207" s="13">
        <f>AVERAGE(L47,L52,L61)</f>
        <v>366.66666666666669</v>
      </c>
      <c r="M207" s="159">
        <f>AVERAGE(M44,M57)</f>
        <v>360.5</v>
      </c>
      <c r="N207" s="37">
        <f>AVERAGE(N76,N61,N55)</f>
        <v>318.33333333333331</v>
      </c>
      <c r="O207" s="37">
        <f>AVERAGE(O60:O61,O79)</f>
        <v>414.66666666666669</v>
      </c>
      <c r="P207" s="37">
        <f>AVERAGE(P47,P76,P81)</f>
        <v>339</v>
      </c>
      <c r="Q207" s="37">
        <f>AVERAGE(Q78,Q81,Q91)</f>
        <v>364.33333333333331</v>
      </c>
      <c r="R207" s="37">
        <f>AVERAGE(R52,R75,R81)</f>
        <v>346.33333333333331</v>
      </c>
      <c r="S207" s="37">
        <f>AVERAGE(S77,S79,S90)</f>
        <v>304.66666666666669</v>
      </c>
      <c r="T207" s="37">
        <f>AVERAGE(T80)</f>
        <v>315</v>
      </c>
      <c r="U207" s="37">
        <f>AVERAGE(U93,U91,U80,U94)</f>
        <v>315.75</v>
      </c>
      <c r="V207" s="37">
        <f>AVERAGE(V104,V81,V94)</f>
        <v>345.33333333333331</v>
      </c>
      <c r="W207" s="37">
        <f>AVERAGE(W99:W100,W81)</f>
        <v>335.33333333333331</v>
      </c>
      <c r="X207" s="13">
        <f>AVERAGE(X107:X109,X104,X98)</f>
        <v>310.25</v>
      </c>
      <c r="Y207" s="60">
        <f>AVERAGE(Y117,Y107,Y78)</f>
        <v>359</v>
      </c>
      <c r="Z207" s="13">
        <f>AVERAGE(Z121,Z98)</f>
        <v>272</v>
      </c>
      <c r="AA207" s="13">
        <f>AVERAGE(AA115:AA116,AA98)</f>
        <v>335.33333333333331</v>
      </c>
      <c r="AB207" s="176">
        <f>AVERAGE(AB125)</f>
        <v>232</v>
      </c>
      <c r="AC207" s="13">
        <f>AVERAGE(AC118,AC109,AC104,AC111)</f>
        <v>290</v>
      </c>
      <c r="AD207" s="103">
        <f>AVERAGE(AD113,AD110,AD123)</f>
        <v>268.33333333333331</v>
      </c>
      <c r="AE207" s="176">
        <f>AVERAGE(AE131,AE124,AE113,AE110)</f>
        <v>208.25</v>
      </c>
      <c r="AG207" s="13">
        <f>AVERAGE(AG108)</f>
        <v>331</v>
      </c>
      <c r="AH207" s="13">
        <f>AVERAGE(AH121,AH134,AH132)</f>
        <v>259</v>
      </c>
      <c r="AJ207" s="13">
        <f>AVERAGE(AJ109,AJ146)</f>
        <v>274.5</v>
      </c>
      <c r="AL207" s="90">
        <f>AVERAGE(AL145:AL146,AL160)</f>
        <v>307</v>
      </c>
      <c r="AM207" s="13">
        <f>AVERAGE(AM109,AM142)</f>
        <v>306.5</v>
      </c>
      <c r="AN207" s="13">
        <f>AVERAGE(AN164,AN155,AN161)</f>
        <v>308.66666666666669</v>
      </c>
      <c r="AO207" s="13">
        <f>AVERAGE(AO169,AO164,AO155)</f>
        <v>409</v>
      </c>
      <c r="AP207" s="13">
        <f>AVERAGE(AP177,AP155:AP156)</f>
        <v>352</v>
      </c>
      <c r="AQ207" s="13">
        <f>AVERAGE(AQ157,AQ154,AQ160)</f>
        <v>426</v>
      </c>
      <c r="AR207" s="13">
        <f>AVERAGE(AR169:AR174)</f>
        <v>170.33333333333334</v>
      </c>
      <c r="AS207" s="13">
        <f>AVERAGE(AS174,AS164:AS165,AS155)</f>
        <v>345.25</v>
      </c>
      <c r="AT207" s="13">
        <f>AVERAGE(AT176,AT169,AT167,AT162)</f>
        <v>364.25</v>
      </c>
      <c r="AU207" s="13">
        <f>AVERAGE(AU168:AU174)</f>
        <v>228.28571428571428</v>
      </c>
      <c r="AV207" s="13">
        <f>AVERAGE(AV167,AV162,AV156)</f>
        <v>417.33333333333331</v>
      </c>
      <c r="AW207" s="13">
        <f>AVERAGE(AW174,AW167,AW156:AW157)</f>
        <v>386.75</v>
      </c>
      <c r="AX207" s="13">
        <f>AVERAGE(AX169:AX175)</f>
        <v>242.42857142857142</v>
      </c>
      <c r="AY207" s="13">
        <f>AVERAGE(AY162,AY171,AY184)</f>
        <v>417</v>
      </c>
      <c r="AZ207" s="97">
        <f>AVERAGE(AZ181:AZ182,AZ187)</f>
        <v>354.33333333333331</v>
      </c>
      <c r="BA207" s="110">
        <f>AVERAGE(BA162,BA187)</f>
        <v>353.5</v>
      </c>
      <c r="BB207" s="117">
        <f>AVERAGE(BB186,BB167)</f>
        <v>388.5</v>
      </c>
      <c r="BC207" s="136">
        <f>AVERAGE(BC190,BC169)</f>
        <v>299</v>
      </c>
      <c r="BD207" s="136">
        <f>AVERAGE(BD190)</f>
        <v>294</v>
      </c>
      <c r="BE207" s="143">
        <f>AVERAGE(BE168,BE193)</f>
        <v>388.5</v>
      </c>
      <c r="BF207" s="19">
        <f>AVERAGE(BF190)</f>
        <v>363</v>
      </c>
      <c r="BG207" s="37">
        <f>Ranking!AS53</f>
        <v>349.45968992248066</v>
      </c>
    </row>
    <row r="208" spans="1:59" ht="17" x14ac:dyDescent="0.2">
      <c r="A208" s="13" t="s">
        <v>33</v>
      </c>
      <c r="B208" s="37">
        <f>AVERAGE(B8,B11,B25)</f>
        <v>500.33333333333331</v>
      </c>
      <c r="C208" s="37">
        <f>AVERAGE(C6:C9)</f>
        <v>506.5</v>
      </c>
      <c r="D208" s="37">
        <f>AVERAGE(D16,D13,D22, D19)</f>
        <v>483.75</v>
      </c>
      <c r="E208" s="37">
        <f>AVERAGE(E16,E10,E19,E33)</f>
        <v>476.5</v>
      </c>
      <c r="F208" s="37">
        <f>AVERAGE(F10,F37,F32,F3)</f>
        <v>439.5</v>
      </c>
      <c r="G208" s="37">
        <f>AVERAGE(G14,G17,G20,G35)</f>
        <v>418.75</v>
      </c>
      <c r="H208" s="37">
        <f>AVERAGE(H59,H50:H53)</f>
        <v>430.75</v>
      </c>
      <c r="I208" s="37">
        <f>AVERAGE(I59,I14,I24,I28)</f>
        <v>432.5</v>
      </c>
      <c r="J208" s="37">
        <f>AVERAGE(J53,J60,J66,J39)</f>
        <v>472.75</v>
      </c>
      <c r="K208" s="13">
        <f>AVERAGE(K47,K49,K60,K42,K54)</f>
        <v>420.8</v>
      </c>
      <c r="L208" s="13">
        <f>AVERAGE(L46,L53,L59:L60)</f>
        <v>443</v>
      </c>
      <c r="M208" s="37">
        <f>AVERAGE(M77,M46,M59:M60)</f>
        <v>455.75</v>
      </c>
      <c r="N208" s="37">
        <f>AVERAGE(N59:N60,N77,N62)</f>
        <v>427.75</v>
      </c>
      <c r="O208" s="37">
        <f>AVERAGE(O59,O76:O77,O82)</f>
        <v>447.5</v>
      </c>
      <c r="P208" s="37">
        <f>AVERAGE(P52:P53,P91,P82)</f>
        <v>415</v>
      </c>
      <c r="Q208" s="37">
        <f>AVERAGE(Q53,Q76,Q90,Q71)</f>
        <v>437.25</v>
      </c>
      <c r="R208" s="37">
        <f>AVERAGE(R76:R77,R79,R90)</f>
        <v>432</v>
      </c>
      <c r="S208" s="37">
        <f>AVERAGE(S81,S91,S98,S104)</f>
        <v>450</v>
      </c>
      <c r="T208" s="37">
        <f>AVERAGE(T104,T81,T79)</f>
        <v>483.33333333333331</v>
      </c>
      <c r="U208" s="37">
        <f>AVERAGE(U98,U81,U79,U96)</f>
        <v>452.25</v>
      </c>
      <c r="V208" s="37">
        <f>AVERAGE(V100,V93,V90:V91)</f>
        <v>434.5</v>
      </c>
      <c r="W208" s="37">
        <f>AVERAGE(W104:W105,W78,W111)</f>
        <v>440.75</v>
      </c>
      <c r="X208" s="13">
        <f>AVERAGE(X100,X78,X87)</f>
        <v>362.66666666666669</v>
      </c>
      <c r="Y208" s="13">
        <f>AVERAGE(Y115,Y101:Y102,Y124)</f>
        <v>416.5</v>
      </c>
      <c r="Z208" s="13">
        <f>AVERAGE(Z114:Z115,Z108,Z101)</f>
        <v>463.75</v>
      </c>
      <c r="AA208" s="13">
        <f>AVERAGE(AA120:AA121,AA114,AA127)</f>
        <v>424.75</v>
      </c>
      <c r="AB208" s="13">
        <f>AVERAGE(AB120,AB118,AB109,AB127)</f>
        <v>498.25</v>
      </c>
      <c r="AC208" s="13">
        <f>AVERAGE(AC120:AC121,AC106)</f>
        <v>374.33333333333331</v>
      </c>
      <c r="AD208" s="13">
        <f>AVERAGE(AD121,AD102,AD135)</f>
        <v>459</v>
      </c>
      <c r="AE208" s="13">
        <f>AVERAGE(AE120,AE118,AE139,AE133)</f>
        <v>454.5</v>
      </c>
      <c r="AF208" s="13">
        <f>AVERAGE(AF120,AF133)</f>
        <v>461.5</v>
      </c>
      <c r="AG208" s="13">
        <f>AVERAGE(AG120,AG109,AG107)</f>
        <v>325.66666666666669</v>
      </c>
      <c r="AH208" s="13">
        <f>AVERAGE(AH120,AH106,AH139,AH149)</f>
        <v>445.25</v>
      </c>
      <c r="AJ208" s="13">
        <f>AVERAGE(AJ121,AJ144)</f>
        <v>455</v>
      </c>
      <c r="AK208" s="13">
        <f>AVERAGE(AK156,AK106,AK161)</f>
        <v>478.33333333333331</v>
      </c>
      <c r="AL208" s="13">
        <f>AVERAGE(AL156:AL157,AL154,AL151)</f>
        <v>439.25</v>
      </c>
      <c r="AM208" s="13">
        <f>AVERAGE(AM163,AM156:AM157,AM160)</f>
        <v>470</v>
      </c>
      <c r="AN208" s="13">
        <f>AVERAGE(AN156:AN163,AN154)</f>
        <v>247.125</v>
      </c>
      <c r="AO208" s="13">
        <f>AVERAGE(AO163,AO156:AO157,AO154)</f>
        <v>492.5</v>
      </c>
      <c r="AP208" s="13">
        <f>AVERAGE(AP166,AP163:AP164,AP157)</f>
        <v>450</v>
      </c>
      <c r="AQ208" s="13">
        <f>AVERAGE(AQ162,AQ155:AQ156,AQ181)</f>
        <v>514.5</v>
      </c>
      <c r="AR208" s="13">
        <f>AVERAGE(AR163:AR165,AR154)</f>
        <v>515.5</v>
      </c>
      <c r="AS208" s="13">
        <f>AVERAGE(AS168:AS169,AS166,AS163)</f>
        <v>518</v>
      </c>
      <c r="AT208" s="13">
        <f>AVERAGE(AT177,AT166,AT163,AT156)</f>
        <v>474.5</v>
      </c>
      <c r="AU208" s="13">
        <f>AVERAGE(AU176,AU165:AU166,AU163)</f>
        <v>509.5</v>
      </c>
      <c r="AV208" s="13">
        <f>AVERAGE(AV168,AV163,AV170,AV185)</f>
        <v>503.75</v>
      </c>
      <c r="AW208" s="13">
        <f>AVERAGE(AW168:AW169,AW166,AW171)</f>
        <v>517.75</v>
      </c>
      <c r="AX208" s="13">
        <f>AVERAGE(AX176,AX166:AX167,AX173)</f>
        <v>453.25</v>
      </c>
      <c r="AY208" s="13">
        <f>AVERAGE(AY165,AY163,AY154:AY156)</f>
        <v>459.5</v>
      </c>
      <c r="AZ208" s="13">
        <f>AVERAGE(AZ163,AZ154,AZ168:AZ169)</f>
        <v>469.75</v>
      </c>
      <c r="BA208" s="110">
        <f>AVERAGE(BA166,BA163)</f>
        <v>452.5</v>
      </c>
      <c r="BB208" s="117">
        <f>AVERAGE(BB166,BB189,BB163)</f>
        <v>433.66666666666669</v>
      </c>
      <c r="BC208" s="127">
        <f>AVERAGE(BC166:BC168,BC193)</f>
        <v>414</v>
      </c>
      <c r="BD208" s="19">
        <f>AVERAGE(BD197,BD168,BD162:BD163)</f>
        <v>483.25</v>
      </c>
      <c r="BE208" s="19">
        <f>AVERAGE(BE166:BE167,BE196,BE169)</f>
        <v>440.5</v>
      </c>
      <c r="BF208" s="19">
        <f>AVERAGE(BF198,BF195)</f>
        <v>515.5</v>
      </c>
      <c r="BG208" s="37">
        <f>Ranking!AR53</f>
        <v>459.54773357154312</v>
      </c>
    </row>
    <row r="209" spans="2:59" s="57" customFormat="1" x14ac:dyDescent="0.2">
      <c r="B209" s="37">
        <f>IF(B205="", 0, B205-$BG$205)+IF(B206="", 0, B206-$BG$206)+IF(B207="", 0, B207-$BG$207)+IF(B208="", 0, B208-$BG$208)</f>
        <v>21.247129344300959</v>
      </c>
      <c r="C209" s="37">
        <f t="shared" ref="C209:L209" si="0">IF(C205="", 0, C205-$BG$205)+IF(C206="", 0, C206-$BG$206)+IF(C207="", 0, C207-$BG$207)+IF(C208="", 0, C208-$BG$208)</f>
        <v>122.0804626776343</v>
      </c>
      <c r="D209" s="37">
        <f t="shared" si="0"/>
        <v>93.03046267763429</v>
      </c>
      <c r="E209" s="37">
        <f t="shared" si="0"/>
        <v>104.0804626776343</v>
      </c>
      <c r="F209" s="37">
        <f t="shared" si="0"/>
        <v>-27.610013512841903</v>
      </c>
      <c r="G209" s="37">
        <f t="shared" si="0"/>
        <v>-101.9195373223657</v>
      </c>
      <c r="H209" s="37">
        <f t="shared" si="0"/>
        <v>26.830462677634301</v>
      </c>
      <c r="I209" s="37">
        <f t="shared" si="0"/>
        <v>-52.102870655699036</v>
      </c>
      <c r="J209" s="37">
        <f t="shared" si="0"/>
        <v>-55.336203989032384</v>
      </c>
      <c r="K209" s="37">
        <f t="shared" si="0"/>
        <v>-174.577870655699</v>
      </c>
      <c r="L209" s="37">
        <f t="shared" si="0"/>
        <v>-79.586203989032342</v>
      </c>
      <c r="M209" s="37">
        <f t="shared" ref="M209:AS209" si="1">IF(M205="", 0, M205-$BG$205)+IF(M206="", 0, M206-$BG$206)+IF(M207="", 0, M207-$BG$207)+IF(M208="", 0, M208-$BG$208)</f>
        <v>-17.56953732236569</v>
      </c>
      <c r="N209" s="37">
        <f t="shared" si="1"/>
        <v>-106.33620398903238</v>
      </c>
      <c r="O209" s="37">
        <f t="shared" si="1"/>
        <v>0.54712934430099835</v>
      </c>
      <c r="P209" s="37">
        <f t="shared" si="1"/>
        <v>-113.37787065569904</v>
      </c>
      <c r="Q209" s="37">
        <f t="shared" si="1"/>
        <v>-157.46120398903238</v>
      </c>
      <c r="R209" s="37">
        <f t="shared" si="1"/>
        <v>-91.871918274746662</v>
      </c>
      <c r="S209" s="37">
        <f t="shared" si="1"/>
        <v>-172.91953732236567</v>
      </c>
      <c r="T209" s="37">
        <f t="shared" si="1"/>
        <v>-84.169537322365727</v>
      </c>
      <c r="U209" s="37">
        <f t="shared" si="1"/>
        <v>-70.252870655699013</v>
      </c>
      <c r="V209" s="37">
        <f t="shared" si="1"/>
        <v>-144.68620398903238</v>
      </c>
      <c r="W209" s="37">
        <f t="shared" si="1"/>
        <v>-109.08620398903238</v>
      </c>
      <c r="X209" s="37">
        <f t="shared" si="1"/>
        <v>-151.96953732236568</v>
      </c>
      <c r="Y209" s="37">
        <f t="shared" si="1"/>
        <v>-41.086203989032356</v>
      </c>
      <c r="Z209" s="37">
        <f t="shared" si="1"/>
        <v>-25.225092877921242</v>
      </c>
      <c r="AA209" s="37">
        <f t="shared" si="1"/>
        <v>-50.469537322365738</v>
      </c>
      <c r="AB209" s="37">
        <f t="shared" si="1"/>
        <v>-142.1695373223657</v>
      </c>
      <c r="AC209" s="37">
        <f t="shared" si="1"/>
        <v>-165.01953732236572</v>
      </c>
      <c r="AD209" s="37">
        <f t="shared" si="1"/>
        <v>-70.352870655699036</v>
      </c>
      <c r="AE209" s="37">
        <f t="shared" si="1"/>
        <v>-159.4195373223657</v>
      </c>
      <c r="AF209" s="37">
        <f t="shared" si="1"/>
        <v>-54.459847399885035</v>
      </c>
      <c r="AG209" s="37">
        <f t="shared" si="1"/>
        <v>-191.08620398903236</v>
      </c>
      <c r="AH209" s="37">
        <f t="shared" si="1"/>
        <v>-57.002870655699041</v>
      </c>
      <c r="AI209" s="37">
        <f>AVERAGE(AH216,AJ216)</f>
        <v>-36.089692361125373</v>
      </c>
      <c r="AJ209" s="37">
        <f t="shared" si="1"/>
        <v>-94.419537322365699</v>
      </c>
      <c r="AK209" s="37">
        <f t="shared" si="1"/>
        <v>33.206819266781622</v>
      </c>
      <c r="AL209" s="37">
        <f t="shared" si="1"/>
        <v>-150.00287065569904</v>
      </c>
      <c r="AM209" s="37">
        <f t="shared" si="1"/>
        <v>-41.374082776911166</v>
      </c>
      <c r="AN209" s="37">
        <f t="shared" si="1"/>
        <v>-234.76843038836398</v>
      </c>
      <c r="AO209" s="37">
        <f t="shared" si="1"/>
        <v>86.747129344300959</v>
      </c>
      <c r="AP209" s="37">
        <f t="shared" si="1"/>
        <v>28.180462677634296</v>
      </c>
      <c r="AQ209" s="37">
        <f t="shared" si="1"/>
        <v>135.91379601096764</v>
      </c>
      <c r="AR209" s="37">
        <f t="shared" si="1"/>
        <v>-95.050489703318078</v>
      </c>
      <c r="AS209" s="37">
        <f t="shared" si="1"/>
        <v>103.74712934430099</v>
      </c>
      <c r="AT209" s="37">
        <f t="shared" ref="AT209:AZ209" si="2">IF(AT205="", 0, AT205-$BG$205)+IF(AT206="", 0, AT206-$BG$206)+IF(AT207="", 0, AT207-$BG$207)+IF(AT208="", 0, AT208-$BG$208)</f>
        <v>22.997129344300959</v>
      </c>
      <c r="AU209" s="37">
        <f t="shared" si="2"/>
        <v>40.116176963348579</v>
      </c>
      <c r="AV209" s="37">
        <f t="shared" si="2"/>
        <v>116.66379601096762</v>
      </c>
      <c r="AW209" s="37">
        <f t="shared" si="2"/>
        <v>110.88046267763428</v>
      </c>
      <c r="AX209" s="37">
        <f t="shared" si="2"/>
        <v>-19.907632560460939</v>
      </c>
      <c r="AY209" s="37">
        <f t="shared" si="2"/>
        <v>117.6804626776343</v>
      </c>
      <c r="AZ209" s="37">
        <f t="shared" si="2"/>
        <v>44.497129344300959</v>
      </c>
      <c r="BA209" s="37">
        <f>IF(BA205="", 0, BA205-$BG$205)+IF(BA206="", 0, BA206-$BG$206)+IF(BA207="", 0, BA207-$BG$207)+IF(BA208="", 0, BA208-$BG$208)</f>
        <v>29.580462677634301</v>
      </c>
      <c r="BB209" s="37">
        <f>IF(BB205="", 0, BB205-$BG$205)+IF(BB206="", 0, BB206-$BG$206)+IF(BB207="", 0, BB207-$BG$207)+IF(BB208="", 0, BB208-$BG$208)</f>
        <v>-7.252870655699013</v>
      </c>
      <c r="BC209" s="37">
        <f>IF(BC205="", 0, BC205-$BG$205)+IF(BC206="", 0, BC206-$BG$206)+IF(BC207="", 0, BC207-$BG$207)+IF(BC208="", 0, BC208-$BG$208)</f>
        <v>57.830462677634301</v>
      </c>
      <c r="BD209" s="37">
        <f>IF(BD205="", 0, BD205-$BG$205)+IF(BD206="", 0, BD206-$BG$206)+IF(BD207="", 0, BD207-$BG$207)+IF(BD208="", 0, BD208-$BG$208)</f>
        <v>4.7304626776343071</v>
      </c>
      <c r="BE209" s="37">
        <f>IF(BE205="", 0, BE205-$BG$205)+IF(BE206="", 0, BE206-$BG$206)+IF(BE207="", 0, BE207-$BG$207)+IF(BE208="", 0, BE208-$BG$208)</f>
        <v>-11.616863761358815</v>
      </c>
      <c r="BF209" s="184"/>
    </row>
    <row r="211" spans="2:59" x14ac:dyDescent="0.2">
      <c r="AE211" s="189" t="s">
        <v>52</v>
      </c>
      <c r="AF211" s="189"/>
      <c r="AG211" s="189"/>
      <c r="AH211" s="37">
        <f>AVERAGE(AI154,AI138,AI118:AI119,AI142,AI159,AI110:AI111,AI146:AI147,AI131,AI126:AI127)</f>
        <v>6.6923076923076925</v>
      </c>
      <c r="AJ211" s="37">
        <f>AVERAGE(AI157,AI120,AI144,AI160,AI112:AI113,AI152:AI153,AI136,AI133,AI128:AI129)</f>
        <v>-13.833333333333334</v>
      </c>
      <c r="BG211" s="37">
        <f>BG204</f>
        <v>6.6269277377380851</v>
      </c>
    </row>
    <row r="212" spans="2:59" x14ac:dyDescent="0.2">
      <c r="AE212" s="189" t="s">
        <v>34</v>
      </c>
      <c r="AF212" s="189"/>
      <c r="AG212" s="189"/>
      <c r="AH212" s="37">
        <f>AVERAGE(AI155,AI107,AI143,AI134:AI135)</f>
        <v>106.6</v>
      </c>
      <c r="AJ212" s="37">
        <f>AVERAGE(AI156,AI141,AI109,AI161,AI148)</f>
        <v>135.6</v>
      </c>
      <c r="BG212" s="37">
        <f>BG205</f>
        <v>154.80267356100688</v>
      </c>
    </row>
    <row r="213" spans="2:59" x14ac:dyDescent="0.2">
      <c r="AE213" s="189" t="s">
        <v>35</v>
      </c>
      <c r="AF213" s="189"/>
      <c r="AG213" s="189"/>
      <c r="AH213" s="37">
        <f>AVERAGE(AI130)</f>
        <v>200</v>
      </c>
      <c r="AJ213" s="37">
        <f>AVERAGE(AI149,AI137,AI108)</f>
        <v>217</v>
      </c>
      <c r="BG213" s="37">
        <f>BG206</f>
        <v>236.60944026733503</v>
      </c>
    </row>
    <row r="214" spans="2:59" x14ac:dyDescent="0.2">
      <c r="AE214" s="189" t="s">
        <v>27</v>
      </c>
      <c r="AF214" s="189"/>
      <c r="AG214" s="189"/>
      <c r="AJ214" s="37">
        <f>AVERAGE(AI121)</f>
        <v>396</v>
      </c>
      <c r="BG214" s="37">
        <f>BG207</f>
        <v>349.45968992248066</v>
      </c>
    </row>
    <row r="215" spans="2:59" x14ac:dyDescent="0.2">
      <c r="AE215" s="189" t="s">
        <v>33</v>
      </c>
      <c r="AF215" s="189"/>
      <c r="AG215" s="189"/>
      <c r="AH215" s="37">
        <f>AVERAGE(AI139,AI106)</f>
        <v>426</v>
      </c>
      <c r="AJ215" s="37">
        <f>AVERAGE(AI145)</f>
        <v>498</v>
      </c>
      <c r="BG215" s="37">
        <f>BG208</f>
        <v>459.54773357154312</v>
      </c>
    </row>
    <row r="216" spans="2:59" x14ac:dyDescent="0.2">
      <c r="AH216" s="37">
        <f>IF(AH212="", 0, AH212-$BG$205)+IF(AH213="", 0, AH213-$BG$206)+IF(AH214="", 0, AH214-$BG$207)+IF(AH215="", 0, AH215-$BG$208)</f>
        <v>-118.35984739988504</v>
      </c>
      <c r="AJ216" s="37">
        <f>IF(AJ212="", 0, AJ212-$BG$205)+IF(AJ213="", 0, AJ213-$BG$206)+IF(AJ214="", 0, AJ214-$BG$207)+IF(AJ215="", 0, AJ215-$BG$208)</f>
        <v>46.180462677634296</v>
      </c>
    </row>
  </sheetData>
  <mergeCells count="57">
    <mergeCell ref="AH202:AJ203"/>
    <mergeCell ref="A174:A177"/>
    <mergeCell ref="A138:A141"/>
    <mergeCell ref="A46:A49"/>
    <mergeCell ref="A202:A203"/>
    <mergeCell ref="A166:A169"/>
    <mergeCell ref="A106:A109"/>
    <mergeCell ref="A58:A61"/>
    <mergeCell ref="A50:A53"/>
    <mergeCell ref="A78:A81"/>
    <mergeCell ref="A154:A157"/>
    <mergeCell ref="A162:A165"/>
    <mergeCell ref="A118:A121"/>
    <mergeCell ref="A74:A77"/>
    <mergeCell ref="A182:A185"/>
    <mergeCell ref="A178:A181"/>
    <mergeCell ref="AE215:AG215"/>
    <mergeCell ref="A170:A173"/>
    <mergeCell ref="AE211:AG211"/>
    <mergeCell ref="AE214:AG214"/>
    <mergeCell ref="A190:A193"/>
    <mergeCell ref="A194:A197"/>
    <mergeCell ref="AE213:AG213"/>
    <mergeCell ref="AE212:AG212"/>
    <mergeCell ref="A186:A189"/>
    <mergeCell ref="A198:A201"/>
    <mergeCell ref="A158:A161"/>
    <mergeCell ref="A30:A33"/>
    <mergeCell ref="A110:A113"/>
    <mergeCell ref="A82:A85"/>
    <mergeCell ref="A34:A37"/>
    <mergeCell ref="A98:A101"/>
    <mergeCell ref="A126:A129"/>
    <mergeCell ref="A146:A149"/>
    <mergeCell ref="A130:A133"/>
    <mergeCell ref="A134:A137"/>
    <mergeCell ref="A150:A153"/>
    <mergeCell ref="A142:A145"/>
    <mergeCell ref="A38:A41"/>
    <mergeCell ref="A54:A57"/>
    <mergeCell ref="A70:A73"/>
    <mergeCell ref="A122:A125"/>
    <mergeCell ref="A2:A5"/>
    <mergeCell ref="A6:A9"/>
    <mergeCell ref="A102:A105"/>
    <mergeCell ref="A114:A117"/>
    <mergeCell ref="A14:A17"/>
    <mergeCell ref="A10:A13"/>
    <mergeCell ref="A22:A25"/>
    <mergeCell ref="A18:A21"/>
    <mergeCell ref="A66:A69"/>
    <mergeCell ref="A42:A45"/>
    <mergeCell ref="A26:A29"/>
    <mergeCell ref="A90:A93"/>
    <mergeCell ref="A62:A65"/>
    <mergeCell ref="A94:A97"/>
    <mergeCell ref="A86:A89"/>
  </mergeCells>
  <conditionalFormatting sqref="D204:H204 I207:L207 N207:AA207 I206:AD206 F205:G205 M205:AF205 K204:AH204 I205:J205 AC207 AF206 AG207:AH207 AH206 AK206:AM206 AJ207 AJ204:AR204 H208:AH208 B207 D208 AJ205:BB205 AO206:BB206 AJ208:BB208 AU204:BB204 AM207:BB207">
    <cfRule type="cellIs" dxfId="665" priority="127" operator="lessThan">
      <formula>$BG204</formula>
    </cfRule>
    <cfRule type="cellIs" dxfId="664" priority="128" operator="greaterThan">
      <formula>$BG204</formula>
    </cfRule>
  </conditionalFormatting>
  <conditionalFormatting sqref="E209:AH209 AJ209:BB209">
    <cfRule type="cellIs" dxfId="663" priority="125" operator="lessThan">
      <formula>0</formula>
    </cfRule>
    <cfRule type="cellIs" dxfId="662" priority="126" operator="greaterThan">
      <formula>0</formula>
    </cfRule>
  </conditionalFormatting>
  <conditionalFormatting sqref="AG205">
    <cfRule type="cellIs" dxfId="661" priority="123" operator="lessThan">
      <formula>$BG205</formula>
    </cfRule>
    <cfRule type="cellIs" dxfId="660" priority="124" operator="greaterThan">
      <formula>$BG205</formula>
    </cfRule>
  </conditionalFormatting>
  <conditionalFormatting sqref="AH211">
    <cfRule type="cellIs" dxfId="659" priority="121" operator="lessThan">
      <formula>$BG211</formula>
    </cfRule>
    <cfRule type="cellIs" dxfId="658" priority="122" operator="greaterThan">
      <formula>$BG211</formula>
    </cfRule>
  </conditionalFormatting>
  <conditionalFormatting sqref="AH212">
    <cfRule type="cellIs" dxfId="657" priority="119" operator="lessThan">
      <formula>$BG212</formula>
    </cfRule>
    <cfRule type="cellIs" dxfId="656" priority="120" operator="greaterThan">
      <formula>$BG212</formula>
    </cfRule>
  </conditionalFormatting>
  <conditionalFormatting sqref="AH215">
    <cfRule type="cellIs" dxfId="655" priority="117" operator="lessThan">
      <formula>$BG215</formula>
    </cfRule>
    <cfRule type="cellIs" dxfId="654" priority="118" operator="greaterThan">
      <formula>$BG215</formula>
    </cfRule>
  </conditionalFormatting>
  <conditionalFormatting sqref="AJ211">
    <cfRule type="cellIs" dxfId="653" priority="115" operator="lessThan">
      <formula>$BG211</formula>
    </cfRule>
    <cfRule type="cellIs" dxfId="652" priority="116" operator="greaterThan">
      <formula>$BG211</formula>
    </cfRule>
  </conditionalFormatting>
  <conditionalFormatting sqref="AJ213">
    <cfRule type="cellIs" dxfId="651" priority="113" operator="lessThan">
      <formula>$BG213</formula>
    </cfRule>
    <cfRule type="cellIs" dxfId="650" priority="114" operator="greaterThan">
      <formula>$BG213</formula>
    </cfRule>
  </conditionalFormatting>
  <conditionalFormatting sqref="AJ212">
    <cfRule type="cellIs" dxfId="649" priority="111" operator="lessThan">
      <formula>$BG212</formula>
    </cfRule>
    <cfRule type="cellIs" dxfId="648" priority="112" operator="greaterThan">
      <formula>$BG212</formula>
    </cfRule>
  </conditionalFormatting>
  <conditionalFormatting sqref="AJ214">
    <cfRule type="cellIs" dxfId="647" priority="109" operator="lessThan">
      <formula>$BG214</formula>
    </cfRule>
    <cfRule type="cellIs" dxfId="646" priority="110" operator="greaterThan">
      <formula>$BG214</formula>
    </cfRule>
  </conditionalFormatting>
  <conditionalFormatting sqref="AH216">
    <cfRule type="cellIs" dxfId="645" priority="107" operator="lessThan">
      <formula>0</formula>
    </cfRule>
    <cfRule type="cellIs" dxfId="644" priority="108" operator="greaterThan">
      <formula>0</formula>
    </cfRule>
  </conditionalFormatting>
  <conditionalFormatting sqref="AJ216">
    <cfRule type="cellIs" dxfId="643" priority="105" operator="lessThan">
      <formula>0</formula>
    </cfRule>
    <cfRule type="cellIs" dxfId="642" priority="106" operator="greaterThan">
      <formula>0</formula>
    </cfRule>
  </conditionalFormatting>
  <conditionalFormatting sqref="AS204">
    <cfRule type="cellIs" dxfId="641" priority="103" operator="lessThan">
      <formula>$BG204</formula>
    </cfRule>
    <cfRule type="cellIs" dxfId="640" priority="104" operator="greaterThan">
      <formula>$BG204</formula>
    </cfRule>
  </conditionalFormatting>
  <conditionalFormatting sqref="AT204">
    <cfRule type="cellIs" dxfId="639" priority="101" operator="lessThan">
      <formula>$BG204</formula>
    </cfRule>
    <cfRule type="cellIs" dxfId="638" priority="102" operator="greaterThan">
      <formula>$BG204</formula>
    </cfRule>
  </conditionalFormatting>
  <conditionalFormatting sqref="B204">
    <cfRule type="cellIs" dxfId="637" priority="99" operator="lessThan">
      <formula>$BG204</formula>
    </cfRule>
    <cfRule type="cellIs" dxfId="636" priority="100" operator="greaterThan">
      <formula>$BG204</formula>
    </cfRule>
  </conditionalFormatting>
  <conditionalFormatting sqref="B208:C209">
    <cfRule type="cellIs" dxfId="635" priority="91" operator="lessThan">
      <formula>$BG208</formula>
    </cfRule>
    <cfRule type="cellIs" dxfId="634" priority="92" operator="greaterThan">
      <formula>$BG208</formula>
    </cfRule>
  </conditionalFormatting>
  <conditionalFormatting sqref="E205">
    <cfRule type="cellIs" dxfId="633" priority="89" operator="lessThan">
      <formula>$BG205</formula>
    </cfRule>
    <cfRule type="cellIs" dxfId="632" priority="90" operator="greaterThan">
      <formula>$BG205</formula>
    </cfRule>
  </conditionalFormatting>
  <conditionalFormatting sqref="I204">
    <cfRule type="cellIs" dxfId="631" priority="87" operator="lessThan">
      <formula>$BG204</formula>
    </cfRule>
    <cfRule type="cellIs" dxfId="630" priority="88" operator="greaterThan">
      <formula>$BG204</formula>
    </cfRule>
  </conditionalFormatting>
  <conditionalFormatting sqref="B205">
    <cfRule type="cellIs" dxfId="629" priority="85" operator="lessThan">
      <formula>$BG205</formula>
    </cfRule>
    <cfRule type="cellIs" dxfId="628" priority="86" operator="greaterThan">
      <formula>$BG205</formula>
    </cfRule>
  </conditionalFormatting>
  <conditionalFormatting sqref="C207">
    <cfRule type="cellIs" dxfId="627" priority="83" operator="lessThan">
      <formula>$BG207</formula>
    </cfRule>
    <cfRule type="cellIs" dxfId="626" priority="84" operator="greaterThan">
      <formula>$BG207</formula>
    </cfRule>
  </conditionalFormatting>
  <conditionalFormatting sqref="C205:C206">
    <cfRule type="cellIs" dxfId="625" priority="81" operator="lessThan">
      <formula>$BG205</formula>
    </cfRule>
    <cfRule type="cellIs" dxfId="624" priority="82" operator="greaterThan">
      <formula>$BG205</formula>
    </cfRule>
  </conditionalFormatting>
  <conditionalFormatting sqref="D205:D206">
    <cfRule type="cellIs" dxfId="623" priority="79" operator="lessThan">
      <formula>$BG205</formula>
    </cfRule>
    <cfRule type="cellIs" dxfId="622" priority="80" operator="greaterThan">
      <formula>$BG205</formula>
    </cfRule>
  </conditionalFormatting>
  <conditionalFormatting sqref="E208">
    <cfRule type="cellIs" dxfId="621" priority="77" operator="lessThan">
      <formula>$BG208</formula>
    </cfRule>
    <cfRule type="cellIs" dxfId="620" priority="78" operator="greaterThan">
      <formula>$BG208</formula>
    </cfRule>
  </conditionalFormatting>
  <conditionalFormatting sqref="G208">
    <cfRule type="cellIs" dxfId="619" priority="75" operator="lessThan">
      <formula>$BG208</formula>
    </cfRule>
    <cfRule type="cellIs" dxfId="618" priority="76" operator="greaterThan">
      <formula>$BG208</formula>
    </cfRule>
  </conditionalFormatting>
  <conditionalFormatting sqref="H205:H206">
    <cfRule type="cellIs" dxfId="617" priority="73" operator="lessThan">
      <formula>$BG205</formula>
    </cfRule>
    <cfRule type="cellIs" dxfId="616" priority="74" operator="greaterThan">
      <formula>$BG205</formula>
    </cfRule>
  </conditionalFormatting>
  <conditionalFormatting sqref="J204">
    <cfRule type="cellIs" dxfId="615" priority="71" operator="lessThan">
      <formula>$BG204</formula>
    </cfRule>
    <cfRule type="cellIs" dxfId="614" priority="72" operator="greaterThan">
      <formula>$BG204</formula>
    </cfRule>
  </conditionalFormatting>
  <conditionalFormatting sqref="K205">
    <cfRule type="cellIs" dxfId="613" priority="69" operator="lessThan">
      <formula>$BG205</formula>
    </cfRule>
    <cfRule type="cellIs" dxfId="612" priority="70" operator="greaterThan">
      <formula>$BG205</formula>
    </cfRule>
  </conditionalFormatting>
  <conditionalFormatting sqref="C204">
    <cfRule type="cellIs" dxfId="611" priority="67" operator="lessThan">
      <formula>$BG204</formula>
    </cfRule>
    <cfRule type="cellIs" dxfId="610" priority="68" operator="greaterThan">
      <formula>$BG204</formula>
    </cfRule>
  </conditionalFormatting>
  <conditionalFormatting sqref="B206">
    <cfRule type="cellIs" dxfId="609" priority="65" operator="lessThan">
      <formula>$BG206</formula>
    </cfRule>
    <cfRule type="cellIs" dxfId="608" priority="66" operator="greaterThan">
      <formula>$BG206</formula>
    </cfRule>
  </conditionalFormatting>
  <conditionalFormatting sqref="D207">
    <cfRule type="cellIs" dxfId="607" priority="63" operator="lessThan">
      <formula>$BG207</formula>
    </cfRule>
    <cfRule type="cellIs" dxfId="606" priority="64" operator="greaterThan">
      <formula>$BG207</formula>
    </cfRule>
  </conditionalFormatting>
  <conditionalFormatting sqref="D209">
    <cfRule type="cellIs" dxfId="605" priority="61" operator="lessThan">
      <formula>$BG209</formula>
    </cfRule>
    <cfRule type="cellIs" dxfId="604" priority="62" operator="greaterThan">
      <formula>$BG209</formula>
    </cfRule>
  </conditionalFormatting>
  <conditionalFormatting sqref="E206">
    <cfRule type="cellIs" dxfId="603" priority="59" operator="lessThan">
      <formula>$BG206</formula>
    </cfRule>
    <cfRule type="cellIs" dxfId="602" priority="60" operator="greaterThan">
      <formula>$BG206</formula>
    </cfRule>
  </conditionalFormatting>
  <conditionalFormatting sqref="F208">
    <cfRule type="cellIs" dxfId="601" priority="57" operator="lessThan">
      <formula>$BG208</formula>
    </cfRule>
    <cfRule type="cellIs" dxfId="600" priority="58" operator="greaterThan">
      <formula>$BG208</formula>
    </cfRule>
  </conditionalFormatting>
  <conditionalFormatting sqref="G206">
    <cfRule type="cellIs" dxfId="599" priority="55" operator="lessThan">
      <formula>$BG206</formula>
    </cfRule>
    <cfRule type="cellIs" dxfId="598" priority="56" operator="greaterThan">
      <formula>$BG206</formula>
    </cfRule>
  </conditionalFormatting>
  <conditionalFormatting sqref="H207">
    <cfRule type="cellIs" dxfId="597" priority="53" operator="lessThan">
      <formula>$BG207</formula>
    </cfRule>
    <cfRule type="cellIs" dxfId="596" priority="54" operator="greaterThan">
      <formula>$BG207</formula>
    </cfRule>
  </conditionalFormatting>
  <conditionalFormatting sqref="E207">
    <cfRule type="cellIs" dxfId="595" priority="51" operator="lessThan">
      <formula>$BG207</formula>
    </cfRule>
    <cfRule type="cellIs" dxfId="594" priority="52" operator="greaterThan">
      <formula>$BG207</formula>
    </cfRule>
  </conditionalFormatting>
  <conditionalFormatting sqref="F207">
    <cfRule type="cellIs" dxfId="593" priority="49" operator="lessThan">
      <formula>$BG207</formula>
    </cfRule>
    <cfRule type="cellIs" dxfId="592" priority="50" operator="greaterThan">
      <formula>$BG207</formula>
    </cfRule>
  </conditionalFormatting>
  <conditionalFormatting sqref="F206">
    <cfRule type="cellIs" dxfId="591" priority="47" operator="lessThan">
      <formula>$BG206</formula>
    </cfRule>
    <cfRule type="cellIs" dxfId="590" priority="48" operator="greaterThan">
      <formula>$BG206</formula>
    </cfRule>
  </conditionalFormatting>
  <conditionalFormatting sqref="G207">
    <cfRule type="cellIs" dxfId="589" priority="45" operator="lessThan">
      <formula>$BG207</formula>
    </cfRule>
    <cfRule type="cellIs" dxfId="588" priority="46" operator="greaterThan">
      <formula>$BG207</formula>
    </cfRule>
  </conditionalFormatting>
  <conditionalFormatting sqref="L205">
    <cfRule type="cellIs" dxfId="587" priority="43" operator="lessThan">
      <formula>$BG205</formula>
    </cfRule>
    <cfRule type="cellIs" dxfId="586" priority="44" operator="greaterThan">
      <formula>$BG205</formula>
    </cfRule>
  </conditionalFormatting>
  <conditionalFormatting sqref="AJ215">
    <cfRule type="cellIs" dxfId="585" priority="41" operator="lessThan">
      <formula>$BG215</formula>
    </cfRule>
    <cfRule type="cellIs" dxfId="584" priority="42" operator="greaterThan">
      <formula>$BG215</formula>
    </cfRule>
  </conditionalFormatting>
  <conditionalFormatting sqref="AJ206">
    <cfRule type="cellIs" dxfId="583" priority="39" operator="lessThan">
      <formula>$BG206</formula>
    </cfRule>
    <cfRule type="cellIs" dxfId="582" priority="40" operator="greaterThan">
      <formula>$BG206</formula>
    </cfRule>
  </conditionalFormatting>
  <conditionalFormatting sqref="AL207">
    <cfRule type="cellIs" dxfId="581" priority="37" operator="lessThan">
      <formula>$BG207</formula>
    </cfRule>
    <cfRule type="cellIs" dxfId="580" priority="38" operator="greaterThan">
      <formula>$BG207</formula>
    </cfRule>
  </conditionalFormatting>
  <conditionalFormatting sqref="AD207">
    <cfRule type="cellIs" dxfId="579" priority="33" operator="lessThan">
      <formula>$BG207</formula>
    </cfRule>
    <cfRule type="cellIs" dxfId="578" priority="34" operator="greaterThan">
      <formula>$BG207</formula>
    </cfRule>
  </conditionalFormatting>
  <conditionalFormatting sqref="AE206">
    <cfRule type="cellIs" dxfId="577" priority="31" operator="lessThan">
      <formula>$BG206</formula>
    </cfRule>
    <cfRule type="cellIs" dxfId="576" priority="32" operator="greaterThan">
      <formula>$BG206</formula>
    </cfRule>
  </conditionalFormatting>
  <conditionalFormatting sqref="AI209">
    <cfRule type="cellIs" dxfId="575" priority="29" operator="lessThan">
      <formula>0</formula>
    </cfRule>
    <cfRule type="cellIs" dxfId="574" priority="30" operator="greaterThan">
      <formula>0</formula>
    </cfRule>
  </conditionalFormatting>
  <conditionalFormatting sqref="BC204:BF204">
    <cfRule type="cellIs" dxfId="573" priority="27" operator="lessThan">
      <formula>$BG204</formula>
    </cfRule>
    <cfRule type="cellIs" dxfId="572" priority="28" operator="greaterThan">
      <formula>$BG204</formula>
    </cfRule>
  </conditionalFormatting>
  <conditionalFormatting sqref="BC205:BF205">
    <cfRule type="cellIs" dxfId="571" priority="25" operator="lessThan">
      <formula>$BG205</formula>
    </cfRule>
    <cfRule type="cellIs" dxfId="570" priority="26" operator="greaterThan">
      <formula>$BG205</formula>
    </cfRule>
  </conditionalFormatting>
  <conditionalFormatting sqref="BC208:BF208">
    <cfRule type="cellIs" dxfId="569" priority="23" operator="lessThan">
      <formula>$BG208</formula>
    </cfRule>
    <cfRule type="cellIs" dxfId="568" priority="24" operator="greaterThan">
      <formula>$BG208</formula>
    </cfRule>
  </conditionalFormatting>
  <conditionalFormatting sqref="BC209:BF209">
    <cfRule type="cellIs" dxfId="567" priority="21" operator="lessThan">
      <formula>0</formula>
    </cfRule>
    <cfRule type="cellIs" dxfId="566" priority="22" operator="greaterThan">
      <formula>0</formula>
    </cfRule>
  </conditionalFormatting>
  <conditionalFormatting sqref="BC206:BF206">
    <cfRule type="cellIs" dxfId="565" priority="19" operator="lessThan">
      <formula>$BG206</formula>
    </cfRule>
    <cfRule type="cellIs" dxfId="564" priority="20" operator="greaterThan">
      <formula>$BG206</formula>
    </cfRule>
  </conditionalFormatting>
  <conditionalFormatting sqref="BC207">
    <cfRule type="cellIs" dxfId="563" priority="17" operator="lessThan">
      <formula>$BG207</formula>
    </cfRule>
    <cfRule type="cellIs" dxfId="562" priority="18" operator="greaterThan">
      <formula>$BG207</formula>
    </cfRule>
  </conditionalFormatting>
  <conditionalFormatting sqref="BD207">
    <cfRule type="cellIs" dxfId="561" priority="15" operator="lessThan">
      <formula>$BG207</formula>
    </cfRule>
    <cfRule type="cellIs" dxfId="560" priority="16" operator="greaterThan">
      <formula>$BG207</formula>
    </cfRule>
  </conditionalFormatting>
  <conditionalFormatting sqref="AH213">
    <cfRule type="cellIs" dxfId="559" priority="13" operator="lessThan">
      <formula>$BG213</formula>
    </cfRule>
    <cfRule type="cellIs" dxfId="558" priority="14" operator="greaterThan">
      <formula>$BG213</formula>
    </cfRule>
  </conditionalFormatting>
  <conditionalFormatting sqref="AH205">
    <cfRule type="cellIs" dxfId="557" priority="11" operator="lessThan">
      <formula>$BG205</formula>
    </cfRule>
    <cfRule type="cellIs" dxfId="556" priority="12" operator="greaterThan">
      <formula>$BG205</formula>
    </cfRule>
  </conditionalFormatting>
  <conditionalFormatting sqref="AG206">
    <cfRule type="cellIs" dxfId="555" priority="9" operator="lessThan">
      <formula>$BG206</formula>
    </cfRule>
    <cfRule type="cellIs" dxfId="554" priority="10" operator="greaterThan">
      <formula>$BG206</formula>
    </cfRule>
  </conditionalFormatting>
  <conditionalFormatting sqref="BE207:BF207">
    <cfRule type="cellIs" dxfId="553" priority="7" operator="lessThan">
      <formula>$BG207</formula>
    </cfRule>
    <cfRule type="cellIs" dxfId="552" priority="8" operator="greaterThan">
      <formula>$BG207</formula>
    </cfRule>
  </conditionalFormatting>
  <conditionalFormatting sqref="M207">
    <cfRule type="cellIs" dxfId="551" priority="5" operator="lessThan">
      <formula>$BG207</formula>
    </cfRule>
    <cfRule type="cellIs" dxfId="550" priority="6" operator="greaterThan">
      <formula>$BG207</formula>
    </cfRule>
  </conditionalFormatting>
  <conditionalFormatting sqref="AB207">
    <cfRule type="cellIs" dxfId="549" priority="3" operator="lessThan">
      <formula>$BG207</formula>
    </cfRule>
    <cfRule type="cellIs" dxfId="548" priority="4" operator="greaterThan">
      <formula>$BG207</formula>
    </cfRule>
  </conditionalFormatting>
  <conditionalFormatting sqref="AE207">
    <cfRule type="cellIs" dxfId="547" priority="1" operator="lessThan">
      <formula>$BG207</formula>
    </cfRule>
    <cfRule type="cellIs" dxfId="546" priority="2" operator="greaterThan">
      <formula>$BG207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X63"/>
  <sheetViews>
    <sheetView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BV12" sqref="BV12"/>
    </sheetView>
  </sheetViews>
  <sheetFormatPr baseColWidth="10" defaultColWidth="10.83203125" defaultRowHeight="16" x14ac:dyDescent="0.2"/>
  <cols>
    <col min="1" max="1" width="5.33203125" style="9" bestFit="1" customWidth="1"/>
    <col min="2" max="2" width="19" style="144" hidden="1" customWidth="1"/>
    <col min="3" max="3" width="10.33203125" style="9" customWidth="1"/>
    <col min="4" max="4" width="9.6640625" style="9" customWidth="1"/>
    <col min="5" max="5" width="13.1640625" style="9" customWidth="1"/>
    <col min="6" max="6" width="6.5" style="9" customWidth="1"/>
    <col min="7" max="8" width="6.5" style="39" customWidth="1"/>
    <col min="9" max="9" width="6.5" style="52" customWidth="1"/>
    <col min="10" max="11" width="7.83203125" style="52" customWidth="1"/>
    <col min="12" max="12" width="6.1640625" style="39" customWidth="1"/>
    <col min="13" max="13" width="6.6640625" style="9" customWidth="1"/>
    <col min="14" max="14" width="5.83203125" style="9" customWidth="1"/>
    <col min="15" max="15" width="5" style="39" customWidth="1"/>
    <col min="16" max="16" width="5" style="36" customWidth="1"/>
    <col min="17" max="17" width="5.5" style="9" customWidth="1"/>
    <col min="18" max="19" width="4.83203125" style="9" customWidth="1"/>
    <col min="20" max="20" width="9.1640625" style="14" customWidth="1"/>
    <col min="21" max="21" width="5.83203125" style="14" customWidth="1"/>
    <col min="22" max="22" width="10.1640625" style="14" customWidth="1"/>
    <col min="23" max="23" width="8" style="14" customWidth="1"/>
    <col min="24" max="24" width="9.1640625" style="68" customWidth="1"/>
    <col min="25" max="25" width="5.83203125" style="68" customWidth="1"/>
    <col min="26" max="26" width="10.1640625" style="68" customWidth="1"/>
    <col min="27" max="27" width="8" style="68" customWidth="1"/>
    <col min="28" max="28" width="8.83203125" style="14" customWidth="1"/>
    <col min="29" max="29" width="6.1640625" style="14" customWidth="1"/>
    <col min="30" max="30" width="9.5" style="14" customWidth="1"/>
    <col min="31" max="31" width="7.6640625" style="14" customWidth="1"/>
    <col min="32" max="35" width="10.1640625" style="14" customWidth="1"/>
    <col min="36" max="36" width="6.1640625" style="9" customWidth="1"/>
    <col min="37" max="37" width="4" style="39" customWidth="1"/>
    <col min="38" max="38" width="4.33203125" style="39" customWidth="1"/>
    <col min="39" max="39" width="4" style="39" customWidth="1"/>
    <col min="40" max="40" width="7.1640625" style="9" customWidth="1"/>
    <col min="41" max="41" width="5.83203125" style="9" customWidth="1"/>
    <col min="42" max="42" width="5.6640625" style="9" customWidth="1"/>
    <col min="43" max="43" width="5.5" style="9" customWidth="1"/>
    <col min="44" max="44" width="5.33203125" style="9" customWidth="1"/>
    <col min="45" max="45" width="5.83203125" style="9" customWidth="1"/>
    <col min="46" max="46" width="6" style="9" bestFit="1" customWidth="1"/>
    <col min="47" max="47" width="7.83203125" style="9" customWidth="1"/>
    <col min="48" max="48" width="9.6640625" style="9" customWidth="1"/>
    <col min="49" max="49" width="5" style="14" hidden="1" customWidth="1"/>
    <col min="50" max="50" width="5.83203125" style="14" hidden="1" customWidth="1"/>
    <col min="51" max="51" width="5.33203125" style="14" hidden="1" customWidth="1"/>
    <col min="52" max="52" width="7.83203125" style="14" hidden="1" customWidth="1"/>
    <col min="53" max="53" width="9.6640625" style="14" hidden="1" customWidth="1"/>
    <col min="54" max="54" width="7.33203125" style="14" customWidth="1"/>
    <col min="55" max="55" width="5.83203125" style="14" customWidth="1"/>
    <col min="56" max="56" width="6.1640625" style="14" customWidth="1"/>
    <col min="57" max="57" width="7.5" style="14" customWidth="1"/>
    <col min="58" max="58" width="9.6640625" style="14" customWidth="1"/>
    <col min="59" max="59" width="8.6640625" style="14" customWidth="1"/>
    <col min="60" max="60" width="6.5" style="9" customWidth="1"/>
    <col min="61" max="62" width="8.6640625" style="9" customWidth="1"/>
    <col min="63" max="63" width="8.83203125" style="9" customWidth="1"/>
    <col min="64" max="65" width="10.83203125" style="9" customWidth="1"/>
    <col min="66" max="67" width="10.83203125" style="85"/>
    <col min="68" max="68" width="10.83203125" style="9" customWidth="1"/>
    <col min="69" max="69" width="10.83203125" style="81" customWidth="1"/>
    <col min="70" max="71" width="10.83203125" style="115"/>
    <col min="72" max="72" width="8.1640625" style="108" customWidth="1"/>
    <col min="73" max="73" width="9.1640625" style="108" customWidth="1"/>
    <col min="74" max="74" width="10.83203125" style="9" customWidth="1"/>
    <col min="75" max="75" width="8.1640625" style="109" customWidth="1"/>
    <col min="76" max="76" width="9.1640625" style="109" customWidth="1"/>
    <col min="77" max="16384" width="10.83203125" style="9"/>
  </cols>
  <sheetData>
    <row r="1" spans="1:76" ht="16" customHeight="1" x14ac:dyDescent="0.2">
      <c r="A1" s="194" t="s">
        <v>21</v>
      </c>
      <c r="B1" s="194" t="s">
        <v>54</v>
      </c>
      <c r="C1" s="195" t="s">
        <v>22</v>
      </c>
      <c r="D1" s="195"/>
      <c r="E1" s="195" t="s">
        <v>24</v>
      </c>
      <c r="F1" s="194" t="s">
        <v>78</v>
      </c>
      <c r="G1" s="194"/>
      <c r="H1" s="194"/>
      <c r="I1" s="194"/>
      <c r="J1" s="189" t="s">
        <v>93</v>
      </c>
      <c r="K1" s="189"/>
      <c r="L1" s="189" t="s">
        <v>80</v>
      </c>
      <c r="M1" s="194" t="s">
        <v>44</v>
      </c>
      <c r="N1" s="194"/>
      <c r="O1" s="194"/>
      <c r="P1" s="194" t="s">
        <v>46</v>
      </c>
      <c r="Q1" s="194"/>
      <c r="R1" s="194"/>
      <c r="S1" s="194"/>
      <c r="T1" s="194" t="s">
        <v>14</v>
      </c>
      <c r="U1" s="194"/>
      <c r="V1" s="194"/>
      <c r="W1" s="194"/>
      <c r="X1" s="194" t="s">
        <v>143</v>
      </c>
      <c r="Y1" s="194"/>
      <c r="Z1" s="194"/>
      <c r="AA1" s="194"/>
      <c r="AB1" s="194" t="s">
        <v>60</v>
      </c>
      <c r="AC1" s="194"/>
      <c r="AD1" s="194"/>
      <c r="AE1" s="194"/>
      <c r="AF1" s="194" t="s">
        <v>61</v>
      </c>
      <c r="AG1" s="194"/>
      <c r="AH1" s="194"/>
      <c r="AI1" s="194"/>
      <c r="AJ1" s="194" t="s">
        <v>45</v>
      </c>
      <c r="AK1" s="194"/>
      <c r="AL1" s="194"/>
      <c r="AM1" s="194"/>
      <c r="AN1" s="194"/>
      <c r="AO1" s="194"/>
      <c r="AP1" s="194"/>
      <c r="AQ1" s="194"/>
      <c r="AR1" s="194" t="s">
        <v>50</v>
      </c>
      <c r="AS1" s="194"/>
      <c r="AT1" s="194"/>
      <c r="AU1" s="194"/>
      <c r="AV1" s="194"/>
      <c r="AW1" s="194" t="s">
        <v>53</v>
      </c>
      <c r="AX1" s="194"/>
      <c r="AY1" s="194"/>
      <c r="AZ1" s="194"/>
      <c r="BA1" s="194"/>
      <c r="BB1" s="194" t="s">
        <v>84</v>
      </c>
      <c r="BC1" s="194"/>
      <c r="BD1" s="194"/>
      <c r="BE1" s="194"/>
      <c r="BF1" s="194"/>
      <c r="BG1" s="189" t="s">
        <v>85</v>
      </c>
      <c r="BH1" s="194" t="s">
        <v>23</v>
      </c>
      <c r="BI1" s="194" t="s">
        <v>55</v>
      </c>
      <c r="BJ1" s="196" t="s">
        <v>129</v>
      </c>
      <c r="BK1" s="196" t="s">
        <v>130</v>
      </c>
      <c r="BL1" s="189" t="s">
        <v>131</v>
      </c>
      <c r="BM1" s="194" t="s">
        <v>55</v>
      </c>
      <c r="BN1" s="189" t="s">
        <v>131</v>
      </c>
      <c r="BO1" s="189" t="s">
        <v>55</v>
      </c>
      <c r="BP1" s="189" t="s">
        <v>133</v>
      </c>
      <c r="BQ1" s="189" t="s">
        <v>55</v>
      </c>
      <c r="BR1" s="189" t="s">
        <v>133</v>
      </c>
      <c r="BS1" s="189" t="s">
        <v>55</v>
      </c>
      <c r="BT1" s="189" t="s">
        <v>209</v>
      </c>
      <c r="BU1" s="189" t="s">
        <v>55</v>
      </c>
      <c r="BV1" s="196" t="s">
        <v>210</v>
      </c>
      <c r="BW1" s="189" t="s">
        <v>209</v>
      </c>
      <c r="BX1" s="189" t="s">
        <v>55</v>
      </c>
    </row>
    <row r="2" spans="1:76" ht="17" x14ac:dyDescent="0.2">
      <c r="A2" s="194"/>
      <c r="B2" s="194"/>
      <c r="C2" s="195"/>
      <c r="D2" s="195"/>
      <c r="E2" s="195"/>
      <c r="F2" s="39" t="s">
        <v>23</v>
      </c>
      <c r="G2" s="144" t="s">
        <v>76</v>
      </c>
      <c r="H2" s="144" t="s">
        <v>77</v>
      </c>
      <c r="I2" s="39" t="s">
        <v>79</v>
      </c>
      <c r="J2" s="147" t="s">
        <v>94</v>
      </c>
      <c r="K2" s="148" t="s">
        <v>13</v>
      </c>
      <c r="L2" s="189"/>
      <c r="M2" s="14" t="s">
        <v>13</v>
      </c>
      <c r="N2" s="14" t="s">
        <v>43</v>
      </c>
      <c r="O2" s="39" t="s">
        <v>72</v>
      </c>
      <c r="P2" s="146" t="s">
        <v>66</v>
      </c>
      <c r="Q2" s="144" t="s">
        <v>37</v>
      </c>
      <c r="R2" s="146" t="s">
        <v>25</v>
      </c>
      <c r="S2" s="146" t="s">
        <v>26</v>
      </c>
      <c r="T2" s="14" t="s">
        <v>2</v>
      </c>
      <c r="U2" s="14" t="s">
        <v>3</v>
      </c>
      <c r="V2" s="14" t="s">
        <v>4</v>
      </c>
      <c r="W2" s="14" t="s">
        <v>5</v>
      </c>
      <c r="X2" s="68" t="s">
        <v>2</v>
      </c>
      <c r="Y2" s="68" t="s">
        <v>3</v>
      </c>
      <c r="Z2" s="68" t="s">
        <v>4</v>
      </c>
      <c r="AA2" s="68" t="s">
        <v>5</v>
      </c>
      <c r="AB2" s="14" t="s">
        <v>2</v>
      </c>
      <c r="AC2" s="14" t="s">
        <v>3</v>
      </c>
      <c r="AD2" s="14" t="s">
        <v>4</v>
      </c>
      <c r="AE2" s="14" t="s">
        <v>5</v>
      </c>
      <c r="AF2" s="14" t="s">
        <v>2</v>
      </c>
      <c r="AG2" s="14" t="s">
        <v>3</v>
      </c>
      <c r="AH2" s="14" t="s">
        <v>4</v>
      </c>
      <c r="AI2" s="14" t="s">
        <v>5</v>
      </c>
      <c r="AJ2" s="146" t="s">
        <v>36</v>
      </c>
      <c r="AK2" s="146" t="s">
        <v>73</v>
      </c>
      <c r="AL2" s="146" t="s">
        <v>74</v>
      </c>
      <c r="AM2" s="146" t="s">
        <v>75</v>
      </c>
      <c r="AN2" s="146" t="s">
        <v>34</v>
      </c>
      <c r="AO2" s="146" t="s">
        <v>35</v>
      </c>
      <c r="AP2" s="146" t="s">
        <v>27</v>
      </c>
      <c r="AQ2" s="146" t="s">
        <v>33</v>
      </c>
      <c r="AR2" s="146" t="s">
        <v>33</v>
      </c>
      <c r="AS2" s="146" t="s">
        <v>51</v>
      </c>
      <c r="AT2" s="146" t="s">
        <v>35</v>
      </c>
      <c r="AU2" s="146" t="s">
        <v>34</v>
      </c>
      <c r="AV2" s="146" t="s">
        <v>52</v>
      </c>
      <c r="AW2" s="14" t="s">
        <v>33</v>
      </c>
      <c r="AX2" s="14" t="s">
        <v>51</v>
      </c>
      <c r="AY2" s="14" t="s">
        <v>35</v>
      </c>
      <c r="AZ2" s="14" t="s">
        <v>34</v>
      </c>
      <c r="BA2" s="14" t="s">
        <v>52</v>
      </c>
      <c r="BB2" s="14" t="s">
        <v>33</v>
      </c>
      <c r="BC2" s="14" t="s">
        <v>51</v>
      </c>
      <c r="BD2" s="14" t="s">
        <v>35</v>
      </c>
      <c r="BE2" s="14" t="s">
        <v>34</v>
      </c>
      <c r="BF2" s="14" t="s">
        <v>52</v>
      </c>
      <c r="BG2" s="189"/>
      <c r="BH2" s="194"/>
      <c r="BI2" s="194"/>
      <c r="BJ2" s="196"/>
      <c r="BK2" s="196"/>
      <c r="BL2" s="189"/>
      <c r="BM2" s="194"/>
      <c r="BN2" s="189"/>
      <c r="BO2" s="189"/>
      <c r="BP2" s="189"/>
      <c r="BQ2" s="189"/>
      <c r="BR2" s="189"/>
      <c r="BS2" s="189"/>
      <c r="BT2" s="189"/>
      <c r="BU2" s="189"/>
      <c r="BV2" s="196"/>
      <c r="BW2" s="189"/>
      <c r="BX2" s="189"/>
    </row>
    <row r="3" spans="1:76" x14ac:dyDescent="0.2">
      <c r="A3" s="122">
        <f t="shared" ref="A3:A34" si="0">RANK(F3,$F$3:$F$118)</f>
        <v>1</v>
      </c>
      <c r="B3" s="149" t="str">
        <f t="shared" ref="B3" si="1">C3&amp;" "&amp;D3</f>
        <v>Novak Djokovic</v>
      </c>
      <c r="C3" s="149" t="s">
        <v>39</v>
      </c>
      <c r="D3" s="149" t="s">
        <v>17</v>
      </c>
      <c r="E3" s="9" t="s">
        <v>29</v>
      </c>
      <c r="F3" s="9">
        <f>VLOOKUP(B3&amp;"5",Data!A4:C242,3,FALSE)</f>
        <v>20812</v>
      </c>
      <c r="G3" s="39">
        <f t="shared" ref="G3" si="2">SUM(AK3:AQ3)</f>
        <v>356</v>
      </c>
      <c r="H3" s="39">
        <f t="shared" ref="H3" si="3">AJ3-AQ3</f>
        <v>48</v>
      </c>
      <c r="I3" s="45">
        <f t="shared" ref="I3" si="4">G3/SUM(G3:H3)</f>
        <v>0.88118811881188119</v>
      </c>
      <c r="J3" s="54">
        <f>MAX(Data!D18:Z21)</f>
        <v>571</v>
      </c>
      <c r="K3" s="54">
        <f>MAX(Data!D22:Z22)</f>
        <v>1906</v>
      </c>
      <c r="L3" s="46">
        <f t="shared" ref="L3" si="5">100-((F3+(H3*100))/SUM(G3:H3))</f>
        <v>36.603960396039604</v>
      </c>
      <c r="M3" s="12">
        <f t="shared" ref="M3" si="6">F3/Q3</f>
        <v>1095.3684210526317</v>
      </c>
      <c r="N3" s="12">
        <f t="shared" ref="N3" si="7">F3/AJ3</f>
        <v>293.12676056338029</v>
      </c>
      <c r="O3" s="12">
        <f t="shared" ref="O3" si="8">F3/G3</f>
        <v>58.460674157303373</v>
      </c>
      <c r="P3" s="32">
        <v>1987</v>
      </c>
      <c r="Q3" s="9">
        <f t="shared" ref="Q3" si="9">S3-R3+1</f>
        <v>19</v>
      </c>
      <c r="R3" s="9">
        <v>2005</v>
      </c>
      <c r="S3" s="9">
        <v>2023</v>
      </c>
      <c r="T3" s="32">
        <f>VLOOKUP($B3&amp;"1",Data!$A:$AB,27, FALSE)</f>
        <v>5620</v>
      </c>
      <c r="U3" s="32">
        <f>VLOOKUP($B3&amp;"2",Data!$A:$AB,27, FALSE)</f>
        <v>4909</v>
      </c>
      <c r="V3" s="32">
        <f>VLOOKUP($B3&amp;"3",Data!$A:$AB,27, FALSE)</f>
        <v>5353</v>
      </c>
      <c r="W3" s="32">
        <f>VLOOKUP($B3&amp;"4",Data!$A:$AB,27, FALSE)</f>
        <v>4930</v>
      </c>
      <c r="X3" s="32">
        <f t="shared" ref="X3:X34" si="10">RANK(T3,T$3:T$118)</f>
        <v>2</v>
      </c>
      <c r="Y3" s="32">
        <f t="shared" ref="Y3:Y34" si="11">RANK(U3,U$3:U$118)</f>
        <v>2</v>
      </c>
      <c r="Z3" s="32">
        <f t="shared" ref="Z3:Z34" si="12">RANK(V3,V$3:V$118)</f>
        <v>2</v>
      </c>
      <c r="AA3" s="32">
        <f t="shared" ref="AA3:AA34" si="13">RANK(W3,W$3:W$118)</f>
        <v>2</v>
      </c>
      <c r="AB3" s="32">
        <f>VLOOKUP($B3&amp;"1",Data!$A:$AB,28, FALSE)</f>
        <v>19</v>
      </c>
      <c r="AC3" s="32">
        <f>VLOOKUP($B3&amp;"2",Data!$A:$AB,28, FALSE)</f>
        <v>20</v>
      </c>
      <c r="AD3" s="32">
        <f>VLOOKUP($B3&amp;"3",Data!$A:$AB,28, FALSE)</f>
        <v>18</v>
      </c>
      <c r="AE3" s="32">
        <f>VLOOKUP($B3&amp;"4",Data!$A:$AB,28, FALSE)</f>
        <v>17</v>
      </c>
      <c r="AF3" s="32">
        <f t="shared" ref="AF3" si="14">T3/AB3</f>
        <v>295.78947368421052</v>
      </c>
      <c r="AG3" s="32">
        <f t="shared" ref="AG3" si="15">U3/AC3</f>
        <v>245.45</v>
      </c>
      <c r="AH3" s="32">
        <f t="shared" ref="AH3" si="16">V3/AD3</f>
        <v>297.38888888888891</v>
      </c>
      <c r="AI3" s="32">
        <f t="shared" ref="AI3" si="17">W3/AE3</f>
        <v>290</v>
      </c>
      <c r="AJ3" s="9">
        <v>71</v>
      </c>
      <c r="AK3" s="39">
        <v>69</v>
      </c>
      <c r="AL3" s="39">
        <v>66</v>
      </c>
      <c r="AM3" s="39">
        <v>61</v>
      </c>
      <c r="AN3" s="9">
        <v>56</v>
      </c>
      <c r="AO3" s="9">
        <v>46</v>
      </c>
      <c r="AP3" s="9">
        <v>35</v>
      </c>
      <c r="AQ3" s="9">
        <v>23</v>
      </c>
      <c r="AR3" s="12">
        <f>AVERAGE(Data!G18,Data!J18:L18,Data!J20:J21,Data!M20:N20,Data!N21,Data!N18:O18,Data!O19,Data!Q20,Data!Q21,Data!R18,Data!S18,Data!T18:T20,Data!U20,Data!V18:V19)</f>
        <v>483.04545454545456</v>
      </c>
      <c r="AS3" s="12">
        <f>AVERAGE(Data!F21,Data!I21,Data!K21:L21,Data!L20,Data!K19,Data!M19:N19,Data!O21,Data!S19,Data!T21,Data!V20)</f>
        <v>359.83333333333331</v>
      </c>
      <c r="AT3" s="12">
        <f>AVERAGE(Data!F19:F20,Data!G19,Data!G21:H21,Data!I20,Data!J19,Data!K20,Data!L19,Data!M21,Data!R19)</f>
        <v>246.18181818181819</v>
      </c>
      <c r="AU3" s="12">
        <f>AVERAGE(Data!E19,Data!H18:I18,Data!H20,Data!I19,Data!M18,Data!P19:P20,Data!Q19)</f>
        <v>133.22222222222223</v>
      </c>
      <c r="AV3" s="12">
        <f>AVERAGE(Data!D18:D21,Data!E20:E21,Data!E18:F18,Data!G20,Data!H19,Data!O20,Data!P18:Q18,Data!S21)</f>
        <v>33.714285714285715</v>
      </c>
      <c r="AW3" s="14">
        <f t="shared" ref="AW3" si="18">AQ3</f>
        <v>23</v>
      </c>
      <c r="AX3" s="14">
        <f t="shared" ref="AX3" si="19">AP3-AQ3</f>
        <v>12</v>
      </c>
      <c r="AY3" s="14">
        <f t="shared" ref="AY3" si="20">AO3-AP3</f>
        <v>11</v>
      </c>
      <c r="AZ3" s="14">
        <f t="shared" ref="AZ3" si="21">AN3-AO3</f>
        <v>10</v>
      </c>
      <c r="BA3" s="32">
        <f t="shared" ref="BA3" si="22">AJ3-AN3</f>
        <v>15</v>
      </c>
      <c r="BB3" s="32">
        <f t="shared" ref="BB3" si="23">AW3*AR3</f>
        <v>11110.045454545454</v>
      </c>
      <c r="BC3" s="32">
        <f t="shared" ref="BC3" si="24">AX3*AS3</f>
        <v>4318</v>
      </c>
      <c r="BD3" s="32">
        <f t="shared" ref="BD3" si="25">AY3*AT3</f>
        <v>2708</v>
      </c>
      <c r="BE3" s="32">
        <f t="shared" ref="BE3" si="26">AZ3*AU3</f>
        <v>1332.2222222222222</v>
      </c>
      <c r="BF3" s="32">
        <f t="shared" ref="BF3" si="27">BA3*AV3</f>
        <v>505.71428571428572</v>
      </c>
      <c r="BG3" s="32">
        <f t="shared" ref="BG3:BG34" si="28">($BB$54*AW3)+($BC$54*AX3)+($BD$54*AY3)+($BE$54*AZ3)+($BF$54*BA3)</f>
        <v>19013.248645832089</v>
      </c>
      <c r="BH3" s="9">
        <f t="shared" ref="BH3" si="29">F3</f>
        <v>20812</v>
      </c>
      <c r="BI3" s="83">
        <f t="shared" ref="BI3" si="30">BG3-F3</f>
        <v>-1798.7513541679109</v>
      </c>
      <c r="BJ3" s="9">
        <f t="shared" ref="BJ3" si="31">AJ3-BK3</f>
        <v>0</v>
      </c>
      <c r="BK3" s="9">
        <f>AJ3</f>
        <v>71</v>
      </c>
      <c r="BL3" s="32">
        <f>BH3-(BJ3*Timeline!$AG$202)-(BK3*Timeline!$AK$202)</f>
        <v>20472.658257473569</v>
      </c>
      <c r="BM3" s="83">
        <f t="shared" ref="BM3" si="32">BL3-BH3</f>
        <v>-339.34174252643061</v>
      </c>
      <c r="BN3" s="32">
        <f t="shared" ref="BN3:BN34" si="33">BL3-$BM$53</f>
        <v>20077.054719404045</v>
      </c>
      <c r="BO3" s="83">
        <f t="shared" ref="BO3" si="34">BN3-BH3</f>
        <v>-734.94528059595541</v>
      </c>
      <c r="BP3" s="32">
        <f t="shared" ref="BP3" si="35">SUM(BB3:BE3)+108*(AM3-AN3)+42*(AM3-AL3)-16*(AK3-AL3)-42*(AJ3-AK3)</f>
        <v>19666.267676767678</v>
      </c>
      <c r="BQ3" s="83">
        <f t="shared" ref="BQ3" si="36">BP3-BH3</f>
        <v>-1145.7323232323215</v>
      </c>
      <c r="BR3" s="83">
        <f t="shared" ref="BR3:BR34" si="37">BP3-$BQ$53</f>
        <v>19681.492874812266</v>
      </c>
      <c r="BS3" s="83">
        <f t="shared" ref="BS3" si="38">BR3-BH3</f>
        <v>-1130.5071251877343</v>
      </c>
      <c r="BT3" s="32">
        <f t="shared" ref="BT3" si="39">BH3-((S3-R3)*BV3)</f>
        <v>20276.727521328998</v>
      </c>
      <c r="BU3" s="83">
        <f t="shared" ref="BU3" si="40">BT3-BH3</f>
        <v>-535.27247867100232</v>
      </c>
      <c r="BV3" s="32">
        <f>AVERAGE(Timeline!AM209:AZ209)</f>
        <v>29.737359926166892</v>
      </c>
      <c r="BW3" s="32">
        <f t="shared" ref="BW3:BW34" si="41">BT3-$BU$53</f>
        <v>19688.247123827983</v>
      </c>
      <c r="BX3" s="83">
        <f t="shared" ref="BX3" si="42">BW3-BH3</f>
        <v>-1123.7528761720168</v>
      </c>
    </row>
    <row r="4" spans="1:76" x14ac:dyDescent="0.2">
      <c r="A4" s="122">
        <f t="shared" si="0"/>
        <v>2</v>
      </c>
      <c r="B4" s="144" t="str">
        <f t="shared" ref="B4:B51" si="43">C4&amp;" "&amp;D4</f>
        <v>Roger Federer</v>
      </c>
      <c r="C4" s="9" t="s">
        <v>38</v>
      </c>
      <c r="D4" s="9" t="s">
        <v>11</v>
      </c>
      <c r="E4" s="9" t="s">
        <v>28</v>
      </c>
      <c r="F4" s="144">
        <f>VLOOKUP(B4&amp;"5",Data!A3:C197,3,FALSE)</f>
        <v>19869</v>
      </c>
      <c r="G4" s="39">
        <f t="shared" ref="G4:G51" si="44">SUM(AK4:AQ4)</f>
        <v>366</v>
      </c>
      <c r="H4" s="39">
        <f t="shared" ref="H4:H51" si="45">AJ4-AQ4</f>
        <v>59</v>
      </c>
      <c r="I4" s="45">
        <f t="shared" ref="I4:I51" si="46">G4/SUM(G4:H4)</f>
        <v>0.86117647058823532</v>
      </c>
      <c r="J4" s="54">
        <f>MAX(Data!D3:Z6)</f>
        <v>592</v>
      </c>
      <c r="K4" s="54">
        <f>MAX(Data!D7:Z7)</f>
        <v>1859</v>
      </c>
      <c r="L4" s="46">
        <f t="shared" ref="L4:L51" si="47">100-((F4+(H4*100))/SUM(G4:H4))</f>
        <v>39.367058823529412</v>
      </c>
      <c r="M4" s="12">
        <f t="shared" ref="M4:M51" si="48">F4/Q4</f>
        <v>863.86956521739125</v>
      </c>
      <c r="N4" s="12">
        <f t="shared" ref="N4:N51" si="49">F4/AJ4</f>
        <v>251.50632911392404</v>
      </c>
      <c r="O4" s="12">
        <f t="shared" ref="O4:O51" si="50">F4/G4</f>
        <v>54.286885245901637</v>
      </c>
      <c r="P4" s="32">
        <v>1981</v>
      </c>
      <c r="Q4" s="14">
        <f t="shared" ref="Q4:Q32" si="51">S4-R4+1</f>
        <v>23</v>
      </c>
      <c r="R4" s="9">
        <v>1999</v>
      </c>
      <c r="S4" s="9">
        <v>2021</v>
      </c>
      <c r="T4" s="32">
        <f>VLOOKUP($B4&amp;"1",Data!$A:$AB,27, FALSE)</f>
        <v>5684</v>
      </c>
      <c r="U4" s="32">
        <f>VLOOKUP($B4&amp;"2",Data!$A:$AB,27, FALSE)</f>
        <v>3134</v>
      </c>
      <c r="V4" s="32">
        <f>VLOOKUP($B4&amp;"3",Data!$A:$AB,27, FALSE)</f>
        <v>6466</v>
      </c>
      <c r="W4" s="32">
        <f>VLOOKUP($B4&amp;"4",Data!$A:$AB,27, FALSE)</f>
        <v>4585</v>
      </c>
      <c r="X4" s="32">
        <f t="shared" si="10"/>
        <v>1</v>
      </c>
      <c r="Y4" s="32">
        <f t="shared" si="11"/>
        <v>3</v>
      </c>
      <c r="Z4" s="32">
        <f t="shared" si="12"/>
        <v>1</v>
      </c>
      <c r="AA4" s="32">
        <f t="shared" si="13"/>
        <v>3</v>
      </c>
      <c r="AB4" s="32">
        <f>VLOOKUP($B4&amp;"1",Data!$A:$AB,28, FALSE)</f>
        <v>21</v>
      </c>
      <c r="AC4" s="32">
        <f>VLOOKUP($B4&amp;"2",Data!$A:$AB,28, FALSE)</f>
        <v>19</v>
      </c>
      <c r="AD4" s="32">
        <f>VLOOKUP($B4&amp;"3",Data!$A:$AB,28, FALSE)</f>
        <v>22</v>
      </c>
      <c r="AE4" s="32">
        <f>VLOOKUP($B4&amp;"4",Data!$A:$AB,28, FALSE)</f>
        <v>19</v>
      </c>
      <c r="AF4" s="32">
        <f t="shared" ref="AF4:AF28" si="52">T4/AB4</f>
        <v>270.66666666666669</v>
      </c>
      <c r="AG4" s="32">
        <f t="shared" ref="AG4:AG28" si="53">U4/AC4</f>
        <v>164.94736842105263</v>
      </c>
      <c r="AH4" s="32">
        <f t="shared" ref="AH4:AH28" si="54">V4/AD4</f>
        <v>293.90909090909093</v>
      </c>
      <c r="AI4" s="32">
        <f t="shared" ref="AI4:AI28" si="55">W4/AE4</f>
        <v>241.31578947368422</v>
      </c>
      <c r="AJ4" s="9">
        <v>79</v>
      </c>
      <c r="AK4" s="39">
        <v>73</v>
      </c>
      <c r="AL4" s="39">
        <v>72</v>
      </c>
      <c r="AM4" s="39">
        <v>67</v>
      </c>
      <c r="AN4" s="9">
        <v>57</v>
      </c>
      <c r="AO4" s="9">
        <v>46</v>
      </c>
      <c r="AP4" s="9">
        <v>31</v>
      </c>
      <c r="AQ4" s="9">
        <v>20</v>
      </c>
      <c r="AR4" s="12">
        <f>AVERAGE(Data!H5:L5,Data!I6:M6,Data!I3,Data!K3:L3,Data!N4:N5,Data!O3,Data!Q5,Data!V3:W3,Data!V5)</f>
        <v>474.8</v>
      </c>
      <c r="AS4" s="12">
        <f>AVERAGE(Data!K4:M4,Data!M5,Data!N3,Data!N6,Data!P4,Data!S5:T5,Data!T6)</f>
        <v>389.8</v>
      </c>
      <c r="AT4" s="12">
        <f>AVERAGE(Data!U3,Data!U5,Data!S6,Data!P3:S3,Data!O6:P6,Data!Q4,Data!M3,Data!J3:J4,Data!X4)</f>
        <v>248</v>
      </c>
      <c r="AU4" s="12">
        <f>AVERAGE(Data!F4:F5,Data!O4:O5,Data!P5,Data!Q6,Data!R4,Data!T4,Data!V6,Data!W5)</f>
        <v>156.6</v>
      </c>
      <c r="AV4" s="12">
        <f>AVERAGE(Data!T3,Data!S4,Data!R5:R6,Data!D4:E5,Data!E6:H6,Data!E3:H3,Data!G4:I4,Data!G5,Data!W6,Data!X3)</f>
        <v>20.818181818181817</v>
      </c>
      <c r="AW4" s="14">
        <f t="shared" ref="AW4:AW51" si="56">AQ4</f>
        <v>20</v>
      </c>
      <c r="AX4" s="14">
        <f t="shared" ref="AX4:AX51" si="57">AP4-AQ4</f>
        <v>11</v>
      </c>
      <c r="AY4" s="14">
        <f t="shared" ref="AY4:AY51" si="58">AO4-AP4</f>
        <v>15</v>
      </c>
      <c r="AZ4" s="14">
        <f t="shared" ref="AZ4:AZ51" si="59">AN4-AO4</f>
        <v>11</v>
      </c>
      <c r="BA4" s="32">
        <f t="shared" ref="BA4:BA51" si="60">AJ4-AN4</f>
        <v>22</v>
      </c>
      <c r="BB4" s="32">
        <f t="shared" ref="BB4:BB51" si="61">AW4*AR4</f>
        <v>9496</v>
      </c>
      <c r="BC4" s="32">
        <f t="shared" ref="BC4:BC51" si="62">AX4*AS4</f>
        <v>4287.8</v>
      </c>
      <c r="BD4" s="32">
        <f t="shared" ref="BD4:BD51" si="63">AY4*AT4</f>
        <v>3720</v>
      </c>
      <c r="BE4" s="32">
        <f t="shared" ref="BE4:BE51" si="64">AZ4*AU4</f>
        <v>1722.6</v>
      </c>
      <c r="BF4" s="32">
        <f t="shared" ref="BF4:BF51" si="65">BA4*AV4</f>
        <v>457.99999999999994</v>
      </c>
      <c r="BG4" s="32">
        <f t="shared" si="28"/>
        <v>18432.774683989486</v>
      </c>
      <c r="BH4" s="14">
        <f t="shared" ref="BH4:BH51" si="66">F4</f>
        <v>19869</v>
      </c>
      <c r="BI4" s="83">
        <f t="shared" ref="BI4:BI51" si="67">BG4-F4</f>
        <v>-1436.2253160105138</v>
      </c>
      <c r="BJ4" s="65">
        <f t="shared" ref="BJ4:BJ51" si="68">AJ4-BK4</f>
        <v>8</v>
      </c>
      <c r="BK4" s="65">
        <f>AJ4-COUNT(Timeline!D154:AH157)-2</f>
        <v>71</v>
      </c>
      <c r="BL4" s="32">
        <f>BH4-(BJ4*Timeline!$AG$202)-(BK4*Timeline!$AK$202)</f>
        <v>19674.574151714358</v>
      </c>
      <c r="BM4" s="83">
        <f t="shared" ref="BM4:BM51" si="69">BL4-BH4</f>
        <v>-194.42584828564213</v>
      </c>
      <c r="BN4" s="32">
        <f t="shared" si="33"/>
        <v>19278.970613644833</v>
      </c>
      <c r="BO4" s="83">
        <f t="shared" ref="BO4:BO51" si="70">BN4-BH4</f>
        <v>-590.02938635516693</v>
      </c>
      <c r="BP4" s="32">
        <f t="shared" ref="BP4:BP51" si="71">SUM(BB4:BE4)+108*(AM4-AN4)+42*(AM4-AL4)-16*(AK4-AL4)-42*(AJ4-AK4)</f>
        <v>19828.399999999998</v>
      </c>
      <c r="BQ4" s="83">
        <f t="shared" ref="BQ4:BQ51" si="72">BP4-BH4</f>
        <v>-40.600000000002183</v>
      </c>
      <c r="BR4" s="83">
        <f t="shared" si="37"/>
        <v>19843.625198044585</v>
      </c>
      <c r="BS4" s="83">
        <f t="shared" ref="BS4:BS51" si="73">BR4-BH4</f>
        <v>-25.374801955415023</v>
      </c>
      <c r="BT4" s="32">
        <f t="shared" ref="BT4:BT51" si="74">BH4-((S4-R4)*BV4)</f>
        <v>19955.978448425885</v>
      </c>
      <c r="BU4" s="83">
        <f t="shared" ref="BU4:BU51" si="75">BT4-BH4</f>
        <v>86.97844842588529</v>
      </c>
      <c r="BV4" s="32">
        <f>AVERAGE(Timeline!AG209:AZ209)</f>
        <v>-3.953565837540181</v>
      </c>
      <c r="BW4" s="32">
        <f t="shared" si="41"/>
        <v>19367.498050924871</v>
      </c>
      <c r="BX4" s="83">
        <f t="shared" ref="BX4:BX51" si="76">BW4-BH4</f>
        <v>-501.50194907512923</v>
      </c>
    </row>
    <row r="5" spans="1:76" x14ac:dyDescent="0.2">
      <c r="A5" s="122">
        <f t="shared" si="0"/>
        <v>3</v>
      </c>
      <c r="B5" s="149" t="str">
        <f t="shared" si="43"/>
        <v>Rafael Nadal</v>
      </c>
      <c r="C5" s="149" t="s">
        <v>40</v>
      </c>
      <c r="D5" s="149" t="s">
        <v>12</v>
      </c>
      <c r="E5" s="9" t="s">
        <v>30</v>
      </c>
      <c r="F5" s="144">
        <f>VLOOKUP(B5&amp;"5",Data!A5:C254,3,FALSE)</f>
        <v>16489</v>
      </c>
      <c r="G5" s="39">
        <f t="shared" si="44"/>
        <v>315</v>
      </c>
      <c r="H5" s="39">
        <f t="shared" si="45"/>
        <v>45</v>
      </c>
      <c r="I5" s="45">
        <f t="shared" si="46"/>
        <v>0.875</v>
      </c>
      <c r="J5" s="54">
        <f>MAX(Data!D8:Z11)</f>
        <v>552</v>
      </c>
      <c r="K5" s="54">
        <f>MAX(Data!D12:Z12)</f>
        <v>1674</v>
      </c>
      <c r="L5" s="46">
        <f t="shared" si="47"/>
        <v>41.697222222222223</v>
      </c>
      <c r="M5" s="12">
        <f t="shared" si="48"/>
        <v>785.19047619047615</v>
      </c>
      <c r="N5" s="12">
        <f t="shared" si="49"/>
        <v>246.1044776119403</v>
      </c>
      <c r="O5" s="12">
        <f t="shared" si="50"/>
        <v>52.346031746031748</v>
      </c>
      <c r="P5" s="32">
        <v>1986</v>
      </c>
      <c r="Q5" s="14">
        <f t="shared" si="51"/>
        <v>21</v>
      </c>
      <c r="R5" s="9">
        <v>2003</v>
      </c>
      <c r="S5" s="9">
        <v>2023</v>
      </c>
      <c r="T5" s="32">
        <f>VLOOKUP($B5&amp;"1",Data!$A:$AB,27, FALSE)</f>
        <v>3974</v>
      </c>
      <c r="U5" s="32">
        <f>VLOOKUP($B5&amp;"2",Data!$A:$AB,27, FALSE)</f>
        <v>7123</v>
      </c>
      <c r="V5" s="32">
        <f>VLOOKUP($B5&amp;"3",Data!$A:$AB,27, FALSE)</f>
        <v>2527</v>
      </c>
      <c r="W5" s="32">
        <f>VLOOKUP($B5&amp;"4",Data!$A:$AB,27, FALSE)</f>
        <v>2865</v>
      </c>
      <c r="X5" s="32">
        <f t="shared" si="10"/>
        <v>3</v>
      </c>
      <c r="Y5" s="32">
        <f t="shared" si="11"/>
        <v>1</v>
      </c>
      <c r="Z5" s="32">
        <f t="shared" si="12"/>
        <v>9</v>
      </c>
      <c r="AA5" s="32">
        <f t="shared" si="13"/>
        <v>8</v>
      </c>
      <c r="AB5" s="32">
        <f>VLOOKUP($B5&amp;"1",Data!$A:$AB,28, FALSE)</f>
        <v>18</v>
      </c>
      <c r="AC5" s="32">
        <f>VLOOKUP($B5&amp;"2",Data!$A:$AB,28, FALSE)</f>
        <v>19</v>
      </c>
      <c r="AD5" s="32">
        <f>VLOOKUP($B5&amp;"3",Data!$A:$AB,28, FALSE)</f>
        <v>15</v>
      </c>
      <c r="AE5" s="32">
        <f>VLOOKUP($B5&amp;"4",Data!$A:$AB,28, FALSE)</f>
        <v>16</v>
      </c>
      <c r="AF5" s="32">
        <f t="shared" si="52"/>
        <v>220.77777777777777</v>
      </c>
      <c r="AG5" s="32">
        <f t="shared" si="53"/>
        <v>374.89473684210526</v>
      </c>
      <c r="AH5" s="32">
        <f t="shared" si="54"/>
        <v>168.46666666666667</v>
      </c>
      <c r="AI5" s="32">
        <f t="shared" si="55"/>
        <v>179.0625</v>
      </c>
      <c r="AJ5" s="9">
        <v>67</v>
      </c>
      <c r="AK5" s="39">
        <v>65</v>
      </c>
      <c r="AL5" s="39">
        <v>59</v>
      </c>
      <c r="AM5" s="39">
        <v>54</v>
      </c>
      <c r="AN5" s="9">
        <v>47</v>
      </c>
      <c r="AO5" s="9">
        <v>38</v>
      </c>
      <c r="AP5" s="9">
        <v>30</v>
      </c>
      <c r="AQ5" s="9">
        <v>22</v>
      </c>
      <c r="AR5" s="12">
        <f>AVERAGE(Data!F9:I9,Data!I10,Data!J8,Data!K9:K11,Data!L9:O9,Data!N11,Data!R11,Data!R9:S9,Data!T9,Timeline!BB163,Data!W8:W9)</f>
        <v>467.47619047619048</v>
      </c>
      <c r="AS5" s="12">
        <f>AVERAGE(Data!G10:H10,Data!L10:L11,Data!M8,Data!O8,Data!R8,Data!T8)</f>
        <v>356.625</v>
      </c>
      <c r="AT5" s="12">
        <f>AVERAGE(Data!I8,Data!I11:J11,Data!S10,Data!S11,Data!V9,Data!W10)</f>
        <v>244.71428571428572</v>
      </c>
      <c r="AU5" s="12">
        <f>AVERAGE(Data!H8,Data!G11,Data!K8:L8,Data!P8:P9,Data!S8,Data!V8)</f>
        <v>145.25</v>
      </c>
      <c r="AV5" s="12">
        <f>AVERAGE(Data!D10:D11,Data!E11:F11,Data!F10,Data!E8:F8,Data!H11,Data!J9,Data!M10:P10,Data!P11:Q11,Data!Q8:Q9,Data!R10,Data!W11,Data!X8)</f>
        <v>8.1</v>
      </c>
      <c r="AW5" s="14">
        <f t="shared" si="56"/>
        <v>22</v>
      </c>
      <c r="AX5" s="14">
        <f t="shared" si="57"/>
        <v>8</v>
      </c>
      <c r="AY5" s="14">
        <f t="shared" si="58"/>
        <v>8</v>
      </c>
      <c r="AZ5" s="14">
        <f t="shared" si="59"/>
        <v>9</v>
      </c>
      <c r="BA5" s="32">
        <f t="shared" si="60"/>
        <v>20</v>
      </c>
      <c r="BB5" s="32">
        <f t="shared" si="61"/>
        <v>10284.476190476191</v>
      </c>
      <c r="BC5" s="32">
        <f t="shared" si="62"/>
        <v>2853</v>
      </c>
      <c r="BD5" s="32">
        <f t="shared" si="63"/>
        <v>1957.7142857142858</v>
      </c>
      <c r="BE5" s="32">
        <f t="shared" si="64"/>
        <v>1307.25</v>
      </c>
      <c r="BF5" s="32">
        <f t="shared" si="65"/>
        <v>162</v>
      </c>
      <c r="BG5" s="32">
        <f t="shared" si="28"/>
        <v>16324.365796896296</v>
      </c>
      <c r="BH5" s="14">
        <f t="shared" si="66"/>
        <v>16489</v>
      </c>
      <c r="BI5" s="83">
        <f t="shared" si="67"/>
        <v>-164.63420310370384</v>
      </c>
      <c r="BJ5" s="65">
        <f t="shared" si="68"/>
        <v>0</v>
      </c>
      <c r="BK5" s="65">
        <f>AJ5</f>
        <v>67</v>
      </c>
      <c r="BL5" s="32">
        <f>BH5-(BJ5*Timeline!$AG$202)-(BK5*Timeline!$AK$202)</f>
        <v>16168.776102122947</v>
      </c>
      <c r="BM5" s="83">
        <f t="shared" si="69"/>
        <v>-320.22389787705288</v>
      </c>
      <c r="BN5" s="32">
        <f t="shared" si="33"/>
        <v>15773.172564053424</v>
      </c>
      <c r="BO5" s="83">
        <f t="shared" si="70"/>
        <v>-715.82743594657586</v>
      </c>
      <c r="BP5" s="32">
        <f t="shared" si="71"/>
        <v>16768.440476190477</v>
      </c>
      <c r="BQ5" s="83">
        <f t="shared" si="72"/>
        <v>279.44047619047706</v>
      </c>
      <c r="BR5" s="83">
        <f t="shared" si="37"/>
        <v>16783.665674235064</v>
      </c>
      <c r="BS5" s="83">
        <f t="shared" si="73"/>
        <v>294.66567423506422</v>
      </c>
      <c r="BT5" s="32">
        <f t="shared" si="74"/>
        <v>16114.591265528226</v>
      </c>
      <c r="BU5" s="83">
        <f t="shared" si="75"/>
        <v>-374.40873447177364</v>
      </c>
      <c r="BV5" s="32">
        <f>AVERAGE(Timeline!AK209:AZ209)</f>
        <v>18.720436723588687</v>
      </c>
      <c r="BW5" s="32">
        <f t="shared" si="41"/>
        <v>15526.11086802721</v>
      </c>
      <c r="BX5" s="83">
        <f t="shared" si="76"/>
        <v>-962.88913197278998</v>
      </c>
    </row>
    <row r="6" spans="1:76" x14ac:dyDescent="0.2">
      <c r="A6" s="122">
        <f t="shared" si="0"/>
        <v>4</v>
      </c>
      <c r="B6" s="144" t="str">
        <f t="shared" si="43"/>
        <v>Jimmy Connors</v>
      </c>
      <c r="C6" s="9" t="s">
        <v>48</v>
      </c>
      <c r="D6" s="9" t="s">
        <v>49</v>
      </c>
      <c r="E6" s="9" t="s">
        <v>31</v>
      </c>
      <c r="F6" s="144">
        <f>VLOOKUP(B6&amp;"5",Data!A6:C255,3,FALSE)</f>
        <v>10870</v>
      </c>
      <c r="G6" s="39">
        <f t="shared" si="44"/>
        <v>235</v>
      </c>
      <c r="H6" s="39">
        <f t="shared" si="45"/>
        <v>49</v>
      </c>
      <c r="I6" s="45">
        <f t="shared" si="46"/>
        <v>0.82746478873239437</v>
      </c>
      <c r="J6" s="54">
        <f>MAX(Data!D28:Z31)</f>
        <v>563</v>
      </c>
      <c r="K6" s="54">
        <f>MAX(Data!D32:Z32)</f>
        <v>1374</v>
      </c>
      <c r="L6" s="46">
        <f t="shared" si="47"/>
        <v>44.471830985915496</v>
      </c>
      <c r="M6" s="12">
        <f t="shared" si="48"/>
        <v>472.60869565217394</v>
      </c>
      <c r="N6" s="12">
        <f t="shared" si="49"/>
        <v>190.7017543859649</v>
      </c>
      <c r="O6" s="12">
        <f t="shared" si="50"/>
        <v>46.255319148936174</v>
      </c>
      <c r="P6" s="32">
        <v>1952</v>
      </c>
      <c r="Q6" s="14">
        <f t="shared" si="51"/>
        <v>23</v>
      </c>
      <c r="R6" s="9">
        <v>1970</v>
      </c>
      <c r="S6" s="9">
        <v>1992</v>
      </c>
      <c r="T6" s="32">
        <f>VLOOKUP($B6&amp;"1",Data!$A:$AB,27, FALSE)</f>
        <v>401</v>
      </c>
      <c r="U6" s="32">
        <f>VLOOKUP($B6&amp;"2",Data!$A:$AB,27, FALSE)</f>
        <v>1405</v>
      </c>
      <c r="V6" s="32">
        <f>VLOOKUP($B6&amp;"3",Data!$A:$AB,27, FALSE)</f>
        <v>3864</v>
      </c>
      <c r="W6" s="32">
        <f>VLOOKUP($B6&amp;"4",Data!$A:$AB,27, FALSE)</f>
        <v>5200</v>
      </c>
      <c r="X6" s="32">
        <f t="shared" si="10"/>
        <v>31</v>
      </c>
      <c r="Y6" s="32">
        <f t="shared" si="11"/>
        <v>14</v>
      </c>
      <c r="Z6" s="32">
        <f t="shared" si="12"/>
        <v>3</v>
      </c>
      <c r="AA6" s="32">
        <f t="shared" si="13"/>
        <v>1</v>
      </c>
      <c r="AB6" s="32">
        <f>VLOOKUP($B6&amp;"1",Data!$A:$AB,28, FALSE)</f>
        <v>2</v>
      </c>
      <c r="AC6" s="32">
        <f>VLOOKUP($B6&amp;"2",Data!$A:$AB,28, FALSE)</f>
        <v>13</v>
      </c>
      <c r="AD6" s="32">
        <f>VLOOKUP($B6&amp;"3",Data!$A:$AB,28, FALSE)</f>
        <v>20</v>
      </c>
      <c r="AE6" s="32">
        <f>VLOOKUP($B6&amp;"4",Data!$A:$AB,28, FALSE)</f>
        <v>22</v>
      </c>
      <c r="AF6" s="32">
        <f t="shared" si="52"/>
        <v>200.5</v>
      </c>
      <c r="AG6" s="32">
        <f t="shared" si="53"/>
        <v>108.07692307692308</v>
      </c>
      <c r="AH6" s="32">
        <f t="shared" si="54"/>
        <v>193.2</v>
      </c>
      <c r="AI6" s="32">
        <f t="shared" si="55"/>
        <v>236.36363636363637</v>
      </c>
      <c r="AJ6" s="9">
        <v>57</v>
      </c>
      <c r="AK6" s="39">
        <v>51</v>
      </c>
      <c r="AL6" s="39">
        <v>46</v>
      </c>
      <c r="AM6" s="39">
        <v>43</v>
      </c>
      <c r="AN6" s="9">
        <v>41</v>
      </c>
      <c r="AO6" s="9">
        <v>31</v>
      </c>
      <c r="AP6" s="9">
        <v>15</v>
      </c>
      <c r="AQ6" s="9">
        <v>8</v>
      </c>
      <c r="AR6" s="12">
        <f>AVERAGE(Data!H28,Data!H30:H31,Data!J31,Data!L31,Data!P30:P31,Data!Q31)</f>
        <v>463.25</v>
      </c>
      <c r="AS6" s="12">
        <f>AVERAGE(Data!I28,Data!I30:I31,Data!K30:L30,Data!K31,Data!R30)</f>
        <v>329.42857142857144</v>
      </c>
      <c r="AT6" s="12">
        <f>AVERAGE(Data!M29:N31,Data!O30:O31,Data!R29:S29,Data!R31:S31,Data!S30,Data!U30:U31,Data!Y31)</f>
        <v>234.75</v>
      </c>
      <c r="AU6" s="12">
        <f>AVERAGE(Data!F30:G30,Data!G31,Data!J30,Data!O29:Q29,Data!U29,Data!V31:W31)</f>
        <v>125.1</v>
      </c>
      <c r="AV6" s="12">
        <f>AVERAGE(Data!D31:F31,Data!F29:G29,Data!T30:T31,Data!Q30,Data!V30:W30,Data!W29,Data!Y29:Z30,Data!Z31)</f>
        <v>-9.3125</v>
      </c>
      <c r="AW6" s="14">
        <f t="shared" si="56"/>
        <v>8</v>
      </c>
      <c r="AX6" s="14">
        <f t="shared" si="57"/>
        <v>7</v>
      </c>
      <c r="AY6" s="14">
        <f t="shared" si="58"/>
        <v>16</v>
      </c>
      <c r="AZ6" s="14">
        <f t="shared" si="59"/>
        <v>10</v>
      </c>
      <c r="BA6" s="32">
        <f t="shared" si="60"/>
        <v>16</v>
      </c>
      <c r="BB6" s="32">
        <f t="shared" si="61"/>
        <v>3706</v>
      </c>
      <c r="BC6" s="32">
        <f t="shared" si="62"/>
        <v>2306</v>
      </c>
      <c r="BD6" s="32">
        <f t="shared" si="63"/>
        <v>3756</v>
      </c>
      <c r="BE6" s="32">
        <f t="shared" si="64"/>
        <v>1251</v>
      </c>
      <c r="BF6" s="32">
        <f t="shared" si="65"/>
        <v>-149</v>
      </c>
      <c r="BG6" s="32">
        <f t="shared" si="28"/>
        <v>11562.408321720948</v>
      </c>
      <c r="BH6" s="14">
        <f t="shared" si="66"/>
        <v>10870</v>
      </c>
      <c r="BI6" s="83">
        <f t="shared" si="67"/>
        <v>692.40832172094815</v>
      </c>
      <c r="BJ6" s="65">
        <f t="shared" si="68"/>
        <v>57</v>
      </c>
      <c r="BK6" s="65">
        <v>0</v>
      </c>
      <c r="BL6" s="32">
        <f>BH6-(BJ6*Timeline!$AG$202)-(BK6*Timeline!$AK$202)</f>
        <v>11902.525746465606</v>
      </c>
      <c r="BM6" s="83">
        <f t="shared" si="69"/>
        <v>1032.5257464656061</v>
      </c>
      <c r="BN6" s="32">
        <f t="shared" si="33"/>
        <v>11506.922208396083</v>
      </c>
      <c r="BO6" s="83">
        <f t="shared" si="70"/>
        <v>636.92220839608308</v>
      </c>
      <c r="BP6" s="32">
        <f t="shared" si="71"/>
        <v>10777</v>
      </c>
      <c r="BQ6" s="83">
        <f t="shared" si="72"/>
        <v>-93</v>
      </c>
      <c r="BR6" s="83">
        <f t="shared" si="37"/>
        <v>10792.225198044585</v>
      </c>
      <c r="BS6" s="83">
        <f t="shared" si="73"/>
        <v>-77.774801955414659</v>
      </c>
      <c r="BT6" s="32">
        <f t="shared" si="74"/>
        <v>12355.149317296324</v>
      </c>
      <c r="BU6" s="83">
        <f t="shared" si="75"/>
        <v>1485.1493172963237</v>
      </c>
      <c r="BV6" s="32">
        <f>AVERAGE(Timeline!D209:Z209)</f>
        <v>-67.506787149832917</v>
      </c>
      <c r="BW6" s="32">
        <f t="shared" si="41"/>
        <v>11766.668919795307</v>
      </c>
      <c r="BX6" s="83">
        <f t="shared" si="76"/>
        <v>896.66891979530737</v>
      </c>
    </row>
    <row r="7" spans="1:76" x14ac:dyDescent="0.2">
      <c r="A7" s="122">
        <f t="shared" si="0"/>
        <v>5</v>
      </c>
      <c r="B7" s="144" t="str">
        <f t="shared" si="43"/>
        <v>Ivan Lendl</v>
      </c>
      <c r="C7" s="9" t="s">
        <v>58</v>
      </c>
      <c r="D7" s="9" t="s">
        <v>57</v>
      </c>
      <c r="E7" s="9" t="s">
        <v>59</v>
      </c>
      <c r="F7" s="144">
        <f>VLOOKUP(B7&amp;"5",Data!A7:C256,3,FALSE)</f>
        <v>10423</v>
      </c>
      <c r="G7" s="39">
        <f t="shared" si="44"/>
        <v>226</v>
      </c>
      <c r="H7" s="39">
        <f t="shared" si="45"/>
        <v>49</v>
      </c>
      <c r="I7" s="45">
        <f t="shared" si="46"/>
        <v>0.82181818181818178</v>
      </c>
      <c r="J7" s="54">
        <f>MAX(Data!D33:Z36)</f>
        <v>543</v>
      </c>
      <c r="K7" s="54">
        <f>MAX(Data!D37:Z37)</f>
        <v>1484</v>
      </c>
      <c r="L7" s="46">
        <f t="shared" si="47"/>
        <v>44.28</v>
      </c>
      <c r="M7" s="12">
        <f t="shared" si="48"/>
        <v>613.11764705882354</v>
      </c>
      <c r="N7" s="12">
        <f t="shared" si="49"/>
        <v>182.85964912280701</v>
      </c>
      <c r="O7" s="12">
        <f t="shared" si="50"/>
        <v>46.119469026548671</v>
      </c>
      <c r="P7" s="32">
        <v>1960</v>
      </c>
      <c r="Q7" s="14">
        <f t="shared" si="51"/>
        <v>17</v>
      </c>
      <c r="R7" s="9">
        <v>1978</v>
      </c>
      <c r="S7" s="9">
        <v>1994</v>
      </c>
      <c r="T7" s="32">
        <f>VLOOKUP($B7&amp;"1",Data!$A:$AB,27, FALSE)</f>
        <v>2365</v>
      </c>
      <c r="U7" s="32">
        <f>VLOOKUP($B7&amp;"2",Data!$A:$AB,27, FALSE)</f>
        <v>2607</v>
      </c>
      <c r="V7" s="32">
        <f>VLOOKUP($B7&amp;"3",Data!$A:$AB,27, FALSE)</f>
        <v>1397</v>
      </c>
      <c r="W7" s="32">
        <f>VLOOKUP($B7&amp;"4",Data!$A:$AB,27, FALSE)</f>
        <v>4054</v>
      </c>
      <c r="X7" s="32">
        <f t="shared" si="10"/>
        <v>5</v>
      </c>
      <c r="Y7" s="32">
        <f t="shared" si="11"/>
        <v>5</v>
      </c>
      <c r="Z7" s="32">
        <f t="shared" si="12"/>
        <v>14</v>
      </c>
      <c r="AA7" s="32">
        <f t="shared" si="13"/>
        <v>4</v>
      </c>
      <c r="AB7" s="32">
        <f>VLOOKUP($B7&amp;"1",Data!$A:$AB,28, FALSE)</f>
        <v>12</v>
      </c>
      <c r="AC7" s="32">
        <f>VLOOKUP($B7&amp;"2",Data!$A:$AB,28, FALSE)</f>
        <v>15</v>
      </c>
      <c r="AD7" s="32">
        <f>VLOOKUP($B7&amp;"3",Data!$A:$AB,28, FALSE)</f>
        <v>14</v>
      </c>
      <c r="AE7" s="32">
        <f>VLOOKUP($B7&amp;"4",Data!$A:$AB,28, FALSE)</f>
        <v>16</v>
      </c>
      <c r="AF7" s="32">
        <f t="shared" si="52"/>
        <v>197.08333333333334</v>
      </c>
      <c r="AG7" s="32">
        <f t="shared" si="53"/>
        <v>173.8</v>
      </c>
      <c r="AH7" s="32">
        <f t="shared" si="54"/>
        <v>99.785714285714292</v>
      </c>
      <c r="AI7" s="32">
        <f t="shared" si="55"/>
        <v>253.375</v>
      </c>
      <c r="AJ7" s="9">
        <v>57</v>
      </c>
      <c r="AK7" s="39">
        <v>50</v>
      </c>
      <c r="AL7" s="39">
        <v>45</v>
      </c>
      <c r="AM7" s="39">
        <v>42</v>
      </c>
      <c r="AN7" s="9">
        <v>34</v>
      </c>
      <c r="AO7" s="9">
        <v>28</v>
      </c>
      <c r="AP7" s="9">
        <v>19</v>
      </c>
      <c r="AQ7" s="9">
        <v>8</v>
      </c>
      <c r="AR7" s="12">
        <f>AVERAGE(Data!J34,Data!K36:M36,Data!L34:M34,Data!O33:P33)</f>
        <v>459.25</v>
      </c>
      <c r="AS7" s="12">
        <f>AVERAGE(Data!G34,Data!H36:J36,Data!I33,Data!K34,Data!L35:M35,Data!N36:O36,Data!Q33)</f>
        <v>371.54545454545456</v>
      </c>
      <c r="AT7" s="12">
        <f>AVERAGE(Data!I35:J35,Data!K33,Data!M33:N33,Data!N35:P35,Data!Q36)</f>
        <v>173.11111111111111</v>
      </c>
      <c r="AU7" s="12">
        <f>AVERAGE(Data!F36,Data!I34,Data!N34,Data!P36,Data!R36,Data!R33)</f>
        <v>131.83333333333334</v>
      </c>
      <c r="AV7" s="12">
        <f>AVERAGE(Data!D34:F34,Data!F33,Data!E35:G35,Data!G36,Data!E36,Data!H34,Data!J33,Data!K35,Data!O34,Data!Q35:S35,Data!R34:T34,Data!S33:T33,Data!S36:T36)</f>
        <v>13.608695652173912</v>
      </c>
      <c r="AW7" s="14">
        <f t="shared" si="56"/>
        <v>8</v>
      </c>
      <c r="AX7" s="14">
        <f t="shared" si="57"/>
        <v>11</v>
      </c>
      <c r="AY7" s="14">
        <f t="shared" si="58"/>
        <v>9</v>
      </c>
      <c r="AZ7" s="14">
        <f t="shared" si="59"/>
        <v>6</v>
      </c>
      <c r="BA7" s="32">
        <f t="shared" si="60"/>
        <v>23</v>
      </c>
      <c r="BB7" s="32">
        <f t="shared" si="61"/>
        <v>3674</v>
      </c>
      <c r="BC7" s="32">
        <f t="shared" si="62"/>
        <v>4087</v>
      </c>
      <c r="BD7" s="32">
        <f t="shared" si="63"/>
        <v>1558</v>
      </c>
      <c r="BE7" s="32">
        <f t="shared" si="64"/>
        <v>791</v>
      </c>
      <c r="BF7" s="32">
        <f t="shared" si="65"/>
        <v>313</v>
      </c>
      <c r="BG7" s="32">
        <f t="shared" si="28"/>
        <v>10731.158799459665</v>
      </c>
      <c r="BH7" s="14">
        <f t="shared" si="66"/>
        <v>10423</v>
      </c>
      <c r="BI7" s="83">
        <f t="shared" si="67"/>
        <v>308.15879945966481</v>
      </c>
      <c r="BJ7" s="65">
        <f t="shared" si="68"/>
        <v>57</v>
      </c>
      <c r="BK7" s="9">
        <v>0</v>
      </c>
      <c r="BL7" s="32">
        <f>BH7-(BJ7*Timeline!$AG$202)-(BK7*Timeline!$AK$202)</f>
        <v>11455.525746465606</v>
      </c>
      <c r="BM7" s="83">
        <f t="shared" si="69"/>
        <v>1032.5257464656061</v>
      </c>
      <c r="BN7" s="32">
        <f t="shared" si="33"/>
        <v>11059.922208396083</v>
      </c>
      <c r="BO7" s="83">
        <f t="shared" si="70"/>
        <v>636.92220839608308</v>
      </c>
      <c r="BP7" s="32">
        <f t="shared" si="71"/>
        <v>10474</v>
      </c>
      <c r="BQ7" s="83">
        <f t="shared" si="72"/>
        <v>51</v>
      </c>
      <c r="BR7" s="83">
        <f t="shared" si="37"/>
        <v>10489.225198044585</v>
      </c>
      <c r="BS7" s="83">
        <f t="shared" si="73"/>
        <v>66.225198044585341</v>
      </c>
      <c r="BT7" s="32">
        <f t="shared" si="74"/>
        <v>11889.061243282968</v>
      </c>
      <c r="BU7" s="83">
        <f t="shared" si="75"/>
        <v>1466.0612432829676</v>
      </c>
      <c r="BV7" s="32">
        <f>AVERAGE(Timeline!L209:AB209)</f>
        <v>-91.628827705185472</v>
      </c>
      <c r="BW7" s="32">
        <f t="shared" si="41"/>
        <v>11300.580845781951</v>
      </c>
      <c r="BX7" s="83">
        <f t="shared" si="76"/>
        <v>877.58084578195121</v>
      </c>
    </row>
    <row r="8" spans="1:76" x14ac:dyDescent="0.2">
      <c r="A8" s="122">
        <f t="shared" si="0"/>
        <v>7</v>
      </c>
      <c r="B8" s="149" t="str">
        <f t="shared" si="43"/>
        <v>Andy Murray</v>
      </c>
      <c r="C8" s="149" t="s">
        <v>126</v>
      </c>
      <c r="D8" s="149" t="s">
        <v>127</v>
      </c>
      <c r="E8" s="9" t="s">
        <v>128</v>
      </c>
      <c r="F8" s="144">
        <f>VLOOKUP(B8&amp;"5",Data!A9:C258,3,FALSE)</f>
        <v>9334</v>
      </c>
      <c r="G8" s="39">
        <f t="shared" si="44"/>
        <v>199</v>
      </c>
      <c r="H8" s="39">
        <f t="shared" si="45"/>
        <v>54</v>
      </c>
      <c r="I8" s="45">
        <f t="shared" si="46"/>
        <v>0.7865612648221344</v>
      </c>
      <c r="J8" s="54">
        <f>MAX(Data!D73:Z76)</f>
        <v>513</v>
      </c>
      <c r="K8" s="54">
        <f>MAX(Data!D77:Z77)</f>
        <v>1435</v>
      </c>
      <c r="L8" s="46">
        <f t="shared" si="47"/>
        <v>41.762845849802375</v>
      </c>
      <c r="M8" s="12">
        <f t="shared" si="48"/>
        <v>491.26315789473682</v>
      </c>
      <c r="N8" s="12">
        <f t="shared" si="49"/>
        <v>163.75438596491227</v>
      </c>
      <c r="O8" s="12">
        <f t="shared" si="50"/>
        <v>46.904522613065325</v>
      </c>
      <c r="P8" s="32">
        <v>1987</v>
      </c>
      <c r="Q8" s="14">
        <f t="shared" si="51"/>
        <v>19</v>
      </c>
      <c r="R8" s="9">
        <v>2005</v>
      </c>
      <c r="S8" s="9">
        <v>2023</v>
      </c>
      <c r="T8" s="32">
        <f>VLOOKUP($B8&amp;"1",Data!$A:$AB,27, FALSE)</f>
        <v>2238</v>
      </c>
      <c r="U8" s="32">
        <f>VLOOKUP($B8&amp;"2",Data!$A:$AB,27, FALSE)</f>
        <v>1766</v>
      </c>
      <c r="V8" s="32">
        <f>VLOOKUP($B8&amp;"3",Data!$A:$AB,27, FALSE)</f>
        <v>3309</v>
      </c>
      <c r="W8" s="32">
        <f>VLOOKUP($B8&amp;"4",Data!$A:$AB,27, FALSE)</f>
        <v>2021</v>
      </c>
      <c r="X8" s="32">
        <f t="shared" si="10"/>
        <v>6</v>
      </c>
      <c r="Y8" s="32">
        <f t="shared" si="11"/>
        <v>8</v>
      </c>
      <c r="Z8" s="32">
        <f t="shared" si="12"/>
        <v>5</v>
      </c>
      <c r="AA8" s="32">
        <f t="shared" si="13"/>
        <v>10</v>
      </c>
      <c r="AB8" s="32">
        <f>VLOOKUP($B8&amp;"1",Data!$A:$AB,28, FALSE)</f>
        <v>16</v>
      </c>
      <c r="AC8" s="32">
        <f>VLOOKUP($B8&amp;"2",Data!$A:$AB,28, FALSE)</f>
        <v>12</v>
      </c>
      <c r="AD8" s="32">
        <f>VLOOKUP($B8&amp;"3",Data!$A:$AB,28, FALSE)</f>
        <v>15</v>
      </c>
      <c r="AE8" s="32">
        <f>VLOOKUP($B8&amp;"4",Data!$A:$AB,28, FALSE)</f>
        <v>17</v>
      </c>
      <c r="AF8" s="32">
        <f t="shared" si="52"/>
        <v>139.875</v>
      </c>
      <c r="AG8" s="32">
        <f t="shared" si="53"/>
        <v>147.16666666666666</v>
      </c>
      <c r="AH8" s="32">
        <f t="shared" si="54"/>
        <v>220.6</v>
      </c>
      <c r="AI8" s="32">
        <f t="shared" si="55"/>
        <v>118.88235294117646</v>
      </c>
      <c r="AJ8" s="9">
        <v>57</v>
      </c>
      <c r="AK8" s="39">
        <v>51</v>
      </c>
      <c r="AL8" s="39">
        <v>45</v>
      </c>
      <c r="AM8" s="39">
        <v>38</v>
      </c>
      <c r="AN8" s="9">
        <v>30</v>
      </c>
      <c r="AO8" s="9">
        <v>21</v>
      </c>
      <c r="AP8" s="9">
        <v>11</v>
      </c>
      <c r="AQ8" s="9">
        <v>3</v>
      </c>
      <c r="AR8" s="12">
        <f>AVERAGE(Data!K76,Data!L75,Data!O75)</f>
        <v>469</v>
      </c>
      <c r="AS8" s="12">
        <f>AVERAGE(Data!K75,Data!G76,Data!I73:J73,Data!L73,Data!N73:O73,Data!O74)</f>
        <v>375.75</v>
      </c>
      <c r="AT8" s="12">
        <f>AVERAGE(Data!P74,Data!N74:N75,Data!M74,Data!K73,Data!J74:J76,Data!H75:I75)</f>
        <v>262.60000000000002</v>
      </c>
      <c r="AU8" s="12">
        <f>AVERAGE(Data!P75,Data!O76,Data!L76:M76,Data!M75,Data!M73,Data!K74,Data!H74,Data!G75)</f>
        <v>158.44444444444446</v>
      </c>
      <c r="AV8" s="12">
        <f>AVERAGE(Data!P73,Data!N76,Data!I74,Data!H76:I76,Data!D76:F76,Data!D75:E75,Data!E73:E74,Data!F73:H73,Data!G74,Data!Q76,Data!R73,Data!S76,Data!T75:U76,Data!U73:V73,Data!V75)</f>
        <v>38.615384615384613</v>
      </c>
      <c r="AW8" s="14">
        <f t="shared" si="56"/>
        <v>3</v>
      </c>
      <c r="AX8" s="14">
        <f t="shared" si="57"/>
        <v>8</v>
      </c>
      <c r="AY8" s="14">
        <f t="shared" si="58"/>
        <v>10</v>
      </c>
      <c r="AZ8" s="14">
        <f t="shared" si="59"/>
        <v>9</v>
      </c>
      <c r="BA8" s="32">
        <f t="shared" si="60"/>
        <v>27</v>
      </c>
      <c r="BB8" s="32">
        <f t="shared" si="61"/>
        <v>1407</v>
      </c>
      <c r="BC8" s="32">
        <f t="shared" si="62"/>
        <v>3006</v>
      </c>
      <c r="BD8" s="32">
        <f t="shared" si="63"/>
        <v>2626</v>
      </c>
      <c r="BE8" s="32">
        <f t="shared" si="64"/>
        <v>1426</v>
      </c>
      <c r="BF8" s="32">
        <f t="shared" si="65"/>
        <v>1042.6153846153845</v>
      </c>
      <c r="BG8" s="32">
        <f t="shared" si="28"/>
        <v>8112.5662337358153</v>
      </c>
      <c r="BH8" s="14">
        <f t="shared" si="66"/>
        <v>9334</v>
      </c>
      <c r="BI8" s="83">
        <f t="shared" si="67"/>
        <v>-1221.4337662641847</v>
      </c>
      <c r="BJ8" s="65">
        <f t="shared" si="68"/>
        <v>0</v>
      </c>
      <c r="BK8" s="65">
        <f>AJ8</f>
        <v>57</v>
      </c>
      <c r="BL8" s="32">
        <f>BH8-(BJ8*Timeline!$AG$202)-(BK8*Timeline!$AK$202)</f>
        <v>9061.5707137463887</v>
      </c>
      <c r="BM8" s="83">
        <f t="shared" si="69"/>
        <v>-272.42928625361128</v>
      </c>
      <c r="BN8" s="32">
        <f t="shared" si="33"/>
        <v>8665.9671756768657</v>
      </c>
      <c r="BO8" s="83">
        <f t="shared" si="70"/>
        <v>-668.03282432313426</v>
      </c>
      <c r="BP8" s="32">
        <f t="shared" si="71"/>
        <v>8687</v>
      </c>
      <c r="BQ8" s="83">
        <f t="shared" si="72"/>
        <v>-647</v>
      </c>
      <c r="BR8" s="83">
        <f t="shared" si="37"/>
        <v>8702.2251980445853</v>
      </c>
      <c r="BS8" s="83">
        <f t="shared" si="73"/>
        <v>-631.77480195541466</v>
      </c>
      <c r="BT8" s="32">
        <f t="shared" si="74"/>
        <v>8798.7275213289959</v>
      </c>
      <c r="BU8" s="83">
        <f t="shared" si="75"/>
        <v>-535.27247867100414</v>
      </c>
      <c r="BV8" s="32">
        <f>AVERAGE(Timeline!AM209:AZ209)</f>
        <v>29.737359926166892</v>
      </c>
      <c r="BW8" s="32">
        <f t="shared" si="41"/>
        <v>8210.2471238279795</v>
      </c>
      <c r="BX8" s="83">
        <f t="shared" si="76"/>
        <v>-1123.7528761720205</v>
      </c>
    </row>
    <row r="9" spans="1:76" s="14" customFormat="1" x14ac:dyDescent="0.2">
      <c r="A9" s="122">
        <f t="shared" si="0"/>
        <v>6</v>
      </c>
      <c r="B9" s="144" t="str">
        <f t="shared" si="43"/>
        <v>Pete Sampras</v>
      </c>
      <c r="C9" s="14" t="s">
        <v>41</v>
      </c>
      <c r="D9" s="14" t="s">
        <v>16</v>
      </c>
      <c r="E9" s="14" t="s">
        <v>31</v>
      </c>
      <c r="F9" s="144">
        <f>VLOOKUP(B9&amp;"5",Data!A8:C257,3,FALSE)</f>
        <v>9391</v>
      </c>
      <c r="G9" s="39">
        <f t="shared" si="44"/>
        <v>203</v>
      </c>
      <c r="H9" s="39">
        <f t="shared" si="45"/>
        <v>38</v>
      </c>
      <c r="I9" s="45">
        <f t="shared" si="46"/>
        <v>0.84232365145228216</v>
      </c>
      <c r="J9" s="54">
        <f>MAX(Data!D13:Z16)</f>
        <v>515</v>
      </c>
      <c r="K9" s="54">
        <f>MAX(Data!D17:Z17)</f>
        <v>1416</v>
      </c>
      <c r="L9" s="46">
        <f t="shared" si="47"/>
        <v>45.265560165975103</v>
      </c>
      <c r="M9" s="12">
        <f t="shared" si="48"/>
        <v>626.06666666666672</v>
      </c>
      <c r="N9" s="12">
        <f t="shared" si="49"/>
        <v>180.59615384615384</v>
      </c>
      <c r="O9" s="12">
        <f t="shared" si="50"/>
        <v>46.261083743842363</v>
      </c>
      <c r="P9" s="32">
        <v>1971</v>
      </c>
      <c r="Q9" s="14">
        <f t="shared" si="51"/>
        <v>15</v>
      </c>
      <c r="R9" s="14">
        <v>1988</v>
      </c>
      <c r="S9" s="14">
        <v>2002</v>
      </c>
      <c r="T9" s="32">
        <f>VLOOKUP($B9&amp;"1",Data!$A:$AB,27, FALSE)</f>
        <v>2030</v>
      </c>
      <c r="U9" s="32">
        <f>VLOOKUP($B9&amp;"2",Data!$A:$AB,27, FALSE)</f>
        <v>580</v>
      </c>
      <c r="V9" s="32">
        <f>VLOOKUP($B9&amp;"3",Data!$A:$AB,27, FALSE)</f>
        <v>3006</v>
      </c>
      <c r="W9" s="32">
        <f>VLOOKUP($B9&amp;"4",Data!$A:$AB,27, FALSE)</f>
        <v>3775</v>
      </c>
      <c r="X9" s="32">
        <f t="shared" si="10"/>
        <v>8</v>
      </c>
      <c r="Y9" s="32">
        <f t="shared" si="11"/>
        <v>37</v>
      </c>
      <c r="Z9" s="32">
        <f t="shared" si="12"/>
        <v>7</v>
      </c>
      <c r="AA9" s="32">
        <f t="shared" si="13"/>
        <v>5</v>
      </c>
      <c r="AB9" s="32">
        <f>VLOOKUP($B9&amp;"1",Data!$A:$AB,28, FALSE)</f>
        <v>11</v>
      </c>
      <c r="AC9" s="32">
        <f>VLOOKUP($B9&amp;"2",Data!$A:$AB,28, FALSE)</f>
        <v>13</v>
      </c>
      <c r="AD9" s="32">
        <f>VLOOKUP($B9&amp;"3",Data!$A:$AB,28, FALSE)</f>
        <v>14</v>
      </c>
      <c r="AE9" s="32">
        <f>VLOOKUP($B9&amp;"4",Data!$A:$AB,28, FALSE)</f>
        <v>14</v>
      </c>
      <c r="AF9" s="32">
        <f t="shared" si="52"/>
        <v>184.54545454545453</v>
      </c>
      <c r="AG9" s="32">
        <f t="shared" si="53"/>
        <v>44.615384615384613</v>
      </c>
      <c r="AH9" s="32">
        <f t="shared" si="54"/>
        <v>214.71428571428572</v>
      </c>
      <c r="AI9" s="32">
        <f t="shared" si="55"/>
        <v>269.64285714285717</v>
      </c>
      <c r="AJ9" s="14">
        <v>52</v>
      </c>
      <c r="AK9" s="39">
        <v>45</v>
      </c>
      <c r="AL9" s="39">
        <v>38</v>
      </c>
      <c r="AM9" s="39">
        <v>36</v>
      </c>
      <c r="AN9" s="14">
        <v>29</v>
      </c>
      <c r="AO9" s="14">
        <v>23</v>
      </c>
      <c r="AP9" s="14">
        <v>18</v>
      </c>
      <c r="AQ9" s="14">
        <v>14</v>
      </c>
      <c r="AR9" s="12">
        <f>AVERAGE(Data!F16,Data!I15:I16,Data!J13,Data!J15:K15,Data!K16:L16,Data!M13,Data!M15:P15,Data!R16)</f>
        <v>432.28571428571428</v>
      </c>
      <c r="AS9" s="12">
        <f>AVERAGE(Data!H16,Data!K13,Data!P16:Q16)</f>
        <v>315.75</v>
      </c>
      <c r="AT9" s="12">
        <f>AVERAGE(Data!H15,Data!I13,Data!L14,Data!N16,Data!P13)</f>
        <v>239.6</v>
      </c>
      <c r="AU9" s="12">
        <f>AVERAGE(Data!H14:J14,Data!G16,Data!L15,Data!N13)</f>
        <v>169.83333333333334</v>
      </c>
      <c r="AV9" s="12">
        <f>AVERAGE(Data!D16,Data!E13:E16,Data!F15:G15,Data!G14,Data!F13,Data!J16,Data!K14,Data!L13,Data!M16,Data!M14:R14,Data!Q15:R15,Data!Q13:R13)</f>
        <v>-6.1304347826086953</v>
      </c>
      <c r="AW9" s="14">
        <f t="shared" si="56"/>
        <v>14</v>
      </c>
      <c r="AX9" s="14">
        <f t="shared" si="57"/>
        <v>4</v>
      </c>
      <c r="AY9" s="14">
        <f t="shared" si="58"/>
        <v>5</v>
      </c>
      <c r="AZ9" s="14">
        <f t="shared" si="59"/>
        <v>6</v>
      </c>
      <c r="BA9" s="32">
        <f t="shared" si="60"/>
        <v>23</v>
      </c>
      <c r="BB9" s="32">
        <f t="shared" si="61"/>
        <v>6052</v>
      </c>
      <c r="BC9" s="32">
        <f t="shared" si="62"/>
        <v>1263</v>
      </c>
      <c r="BD9" s="32">
        <f t="shared" si="63"/>
        <v>1198</v>
      </c>
      <c r="BE9" s="32">
        <f t="shared" si="64"/>
        <v>1019</v>
      </c>
      <c r="BF9" s="32">
        <f t="shared" si="65"/>
        <v>-141</v>
      </c>
      <c r="BG9" s="32">
        <f t="shared" si="28"/>
        <v>10095.789610362219</v>
      </c>
      <c r="BH9" s="14">
        <f t="shared" si="66"/>
        <v>9391</v>
      </c>
      <c r="BI9" s="83">
        <f t="shared" si="67"/>
        <v>704.78961036221881</v>
      </c>
      <c r="BJ9" s="65">
        <f t="shared" si="68"/>
        <v>46</v>
      </c>
      <c r="BK9" s="65">
        <f>AJ9-COUNT(Timeline!D118:AH121)-2</f>
        <v>6</v>
      </c>
      <c r="BL9" s="32">
        <f>BH9-(BJ9*Timeline!$AG$202)-(BK9*Timeline!$AK$202)</f>
        <v>10195.589624910461</v>
      </c>
      <c r="BM9" s="83">
        <f t="shared" si="69"/>
        <v>804.58962491046077</v>
      </c>
      <c r="BN9" s="32">
        <f t="shared" si="33"/>
        <v>9799.9860868409378</v>
      </c>
      <c r="BO9" s="83">
        <f t="shared" si="70"/>
        <v>408.98608684093779</v>
      </c>
      <c r="BP9" s="32">
        <f t="shared" si="71"/>
        <v>9798</v>
      </c>
      <c r="BQ9" s="83">
        <f t="shared" si="72"/>
        <v>407</v>
      </c>
      <c r="BR9" s="83">
        <f t="shared" si="37"/>
        <v>9813.2251980445853</v>
      </c>
      <c r="BS9" s="83">
        <f t="shared" si="73"/>
        <v>422.22519804458534</v>
      </c>
      <c r="BT9" s="32">
        <f t="shared" si="74"/>
        <v>10784.039586251276</v>
      </c>
      <c r="BU9" s="83">
        <f t="shared" si="75"/>
        <v>1393.039586251276</v>
      </c>
      <c r="BV9" s="32">
        <f>AVERAGE(Timeline!V209:AJ209)</f>
        <v>-99.502827589376906</v>
      </c>
      <c r="BW9" s="32">
        <f t="shared" si="41"/>
        <v>10195.55918875026</v>
      </c>
      <c r="BX9" s="83">
        <f t="shared" si="76"/>
        <v>804.55918875025964</v>
      </c>
    </row>
    <row r="10" spans="1:76" s="35" customFormat="1" x14ac:dyDescent="0.2">
      <c r="A10" s="122">
        <f t="shared" si="0"/>
        <v>8</v>
      </c>
      <c r="B10" s="144" t="str">
        <f t="shared" si="43"/>
        <v>Andre Agassi</v>
      </c>
      <c r="C10" s="35" t="s">
        <v>64</v>
      </c>
      <c r="D10" s="35" t="s">
        <v>65</v>
      </c>
      <c r="E10" s="35" t="s">
        <v>31</v>
      </c>
      <c r="F10" s="144">
        <f>VLOOKUP(B10&amp;"5",Data!A10:C259,3,FALSE)</f>
        <v>8891</v>
      </c>
      <c r="G10" s="39">
        <f t="shared" si="44"/>
        <v>224</v>
      </c>
      <c r="H10" s="39">
        <f t="shared" si="45"/>
        <v>53</v>
      </c>
      <c r="I10" s="45">
        <f t="shared" si="46"/>
        <v>0.80866425992779778</v>
      </c>
      <c r="J10" s="54">
        <f>MAX(Data!D38:Z41)</f>
        <v>509</v>
      </c>
      <c r="K10" s="54">
        <f>MAX(Data!D42:Z42)</f>
        <v>1070</v>
      </c>
      <c r="L10" s="46">
        <f t="shared" si="47"/>
        <v>48.768953068592054</v>
      </c>
      <c r="M10" s="12">
        <f t="shared" si="48"/>
        <v>423.38095238095241</v>
      </c>
      <c r="N10" s="12">
        <f t="shared" si="49"/>
        <v>145.75409836065575</v>
      </c>
      <c r="O10" s="12">
        <f t="shared" si="50"/>
        <v>39.691964285714285</v>
      </c>
      <c r="P10" s="32">
        <v>1970</v>
      </c>
      <c r="Q10" s="35">
        <f t="shared" si="51"/>
        <v>21</v>
      </c>
      <c r="R10" s="35">
        <v>1986</v>
      </c>
      <c r="S10" s="35">
        <v>2006</v>
      </c>
      <c r="T10" s="32">
        <f>VLOOKUP($B10&amp;"1",Data!$A:$AB,27, FALSE)</f>
        <v>2400</v>
      </c>
      <c r="U10" s="32">
        <f>VLOOKUP($B10&amp;"2",Data!$A:$AB,27, FALSE)</f>
        <v>1517</v>
      </c>
      <c r="V10" s="32">
        <f>VLOOKUP($B10&amp;"3",Data!$A:$AB,27, FALSE)</f>
        <v>1739</v>
      </c>
      <c r="W10" s="32">
        <f>VLOOKUP($B10&amp;"4",Data!$A:$AB,27, FALSE)</f>
        <v>3235</v>
      </c>
      <c r="X10" s="32">
        <f t="shared" si="10"/>
        <v>4</v>
      </c>
      <c r="Y10" s="32">
        <f t="shared" si="11"/>
        <v>13</v>
      </c>
      <c r="Z10" s="32">
        <f t="shared" si="12"/>
        <v>10</v>
      </c>
      <c r="AA10" s="32">
        <f t="shared" si="13"/>
        <v>6</v>
      </c>
      <c r="AB10" s="32">
        <f>VLOOKUP($B10&amp;"1",Data!$A:$AB,28, FALSE)</f>
        <v>9</v>
      </c>
      <c r="AC10" s="32">
        <f>VLOOKUP($B10&amp;"2",Data!$A:$AB,28, FALSE)</f>
        <v>17</v>
      </c>
      <c r="AD10" s="32">
        <f>VLOOKUP($B10&amp;"3",Data!$A:$AB,28, FALSE)</f>
        <v>14</v>
      </c>
      <c r="AE10" s="32">
        <f>VLOOKUP($B10&amp;"4",Data!$A:$AB,28, FALSE)</f>
        <v>21</v>
      </c>
      <c r="AF10" s="32">
        <f t="shared" si="52"/>
        <v>266.66666666666669</v>
      </c>
      <c r="AG10" s="32">
        <f t="shared" si="53"/>
        <v>89.235294117647058</v>
      </c>
      <c r="AH10" s="32">
        <f t="shared" si="54"/>
        <v>124.21428571428571</v>
      </c>
      <c r="AI10" s="32">
        <f t="shared" si="55"/>
        <v>154.04761904761904</v>
      </c>
      <c r="AJ10" s="35">
        <v>61</v>
      </c>
      <c r="AK10" s="39">
        <v>52</v>
      </c>
      <c r="AL10" s="39">
        <v>45</v>
      </c>
      <c r="AM10" s="39">
        <v>42</v>
      </c>
      <c r="AN10" s="35">
        <v>36</v>
      </c>
      <c r="AO10" s="35">
        <v>26</v>
      </c>
      <c r="AP10" s="35">
        <v>15</v>
      </c>
      <c r="AQ10" s="35">
        <v>8</v>
      </c>
      <c r="AR10" s="12">
        <f>AVERAGE(Data!J40,Data!L41,Data!M38,Data!Q41,Data!Q39,Data!R38:S38,Data!U38)</f>
        <v>414.5</v>
      </c>
      <c r="AS10" s="12">
        <f>AVERAGE(Data!W41,Data!T41,Data!Q40,Data!M41,Data!H39:I39,Data!H41)</f>
        <v>314.71428571428572</v>
      </c>
      <c r="AT10" s="12">
        <f>AVERAGE(Data!F41:G41,Data!F39,Data!J39,Data!M40,Data!N41,Data!N38,Data!R40:S40,Data!V38,Data!U41)</f>
        <v>192.36363636363637</v>
      </c>
      <c r="AU10" s="12">
        <f>AVERAGE(Data!W38,Data!V41,Data!S39:U39,Data!S41,Data!M39,Data!K40,Data!J41,Data!I40)</f>
        <v>166.6</v>
      </c>
      <c r="AV10" s="12">
        <f>AVERAGE(Data!D41,Data!E39:E41,Data!G39,Data!I41,Data!K41,Data!L39:L40,Data!N39:N40,Data!P38:P41,Data!O41,Data!Q38,Data!R39,Data!R41,Data!T40:U40,Data!V39:W39,Data!X40:X41)</f>
        <v>-16.399999999999999</v>
      </c>
      <c r="AW10" s="35">
        <f t="shared" si="56"/>
        <v>8</v>
      </c>
      <c r="AX10" s="35">
        <f t="shared" si="57"/>
        <v>7</v>
      </c>
      <c r="AY10" s="35">
        <f t="shared" si="58"/>
        <v>11</v>
      </c>
      <c r="AZ10" s="35">
        <f t="shared" si="59"/>
        <v>10</v>
      </c>
      <c r="BA10" s="32">
        <f t="shared" si="60"/>
        <v>25</v>
      </c>
      <c r="BB10" s="32">
        <f t="shared" si="61"/>
        <v>3316</v>
      </c>
      <c r="BC10" s="32">
        <f t="shared" si="62"/>
        <v>2203</v>
      </c>
      <c r="BD10" s="32">
        <f t="shared" si="63"/>
        <v>2116</v>
      </c>
      <c r="BE10" s="32">
        <f t="shared" si="64"/>
        <v>1666</v>
      </c>
      <c r="BF10" s="32">
        <f t="shared" si="65"/>
        <v>-409.99999999999994</v>
      </c>
      <c r="BG10" s="32">
        <f t="shared" si="28"/>
        <v>10439.003470023916</v>
      </c>
      <c r="BH10" s="35">
        <f t="shared" si="66"/>
        <v>8891</v>
      </c>
      <c r="BI10" s="83">
        <f t="shared" si="67"/>
        <v>1548.0034700239157</v>
      </c>
      <c r="BJ10" s="65">
        <f t="shared" si="68"/>
        <v>44</v>
      </c>
      <c r="BK10" s="65">
        <f>AJ10-COUNT(Timeline!D106:AH109)-2</f>
        <v>17</v>
      </c>
      <c r="BL10" s="32">
        <f>BH10-(BJ10*Timeline!$AG$202)-(BK10*Timeline!$AK$202)</f>
        <v>9606.786578564479</v>
      </c>
      <c r="BM10" s="83">
        <f t="shared" si="69"/>
        <v>715.78657856447899</v>
      </c>
      <c r="BN10" s="32">
        <f t="shared" si="33"/>
        <v>9211.183040494956</v>
      </c>
      <c r="BO10" s="83">
        <f t="shared" si="70"/>
        <v>320.183040494956</v>
      </c>
      <c r="BP10" s="32">
        <f t="shared" si="71"/>
        <v>9333</v>
      </c>
      <c r="BQ10" s="83">
        <f t="shared" si="72"/>
        <v>442</v>
      </c>
      <c r="BR10" s="83">
        <f t="shared" si="37"/>
        <v>9348.2251980445853</v>
      </c>
      <c r="BS10" s="83">
        <f t="shared" si="73"/>
        <v>457.22519804458534</v>
      </c>
      <c r="BT10" s="32">
        <f t="shared" si="74"/>
        <v>10833.765129878962</v>
      </c>
      <c r="BU10" s="83">
        <f t="shared" si="75"/>
        <v>1942.7651298789624</v>
      </c>
      <c r="BV10" s="32">
        <f>AVERAGE(Timeline!T209:AN209)</f>
        <v>-97.138256493948148</v>
      </c>
      <c r="BW10" s="32">
        <f t="shared" si="41"/>
        <v>10245.284732377946</v>
      </c>
      <c r="BX10" s="83">
        <f t="shared" si="76"/>
        <v>1354.2847323779461</v>
      </c>
    </row>
    <row r="11" spans="1:76" s="39" customFormat="1" x14ac:dyDescent="0.2">
      <c r="A11" s="122">
        <f t="shared" si="0"/>
        <v>9</v>
      </c>
      <c r="B11" s="144" t="str">
        <f t="shared" si="43"/>
        <v>Bjorn Borg</v>
      </c>
      <c r="C11" s="39" t="s">
        <v>42</v>
      </c>
      <c r="D11" s="39" t="s">
        <v>20</v>
      </c>
      <c r="E11" s="39" t="s">
        <v>32</v>
      </c>
      <c r="F11" s="144">
        <f>VLOOKUP(B11&amp;"5",Data!A11:C260,3,FALSE)</f>
        <v>7977</v>
      </c>
      <c r="G11" s="39">
        <f t="shared" si="44"/>
        <v>142</v>
      </c>
      <c r="H11" s="39">
        <f t="shared" si="45"/>
        <v>16</v>
      </c>
      <c r="I11" s="45">
        <f t="shared" si="46"/>
        <v>0.89873417721518989</v>
      </c>
      <c r="J11" s="54">
        <f>MAX(Data!D23:Z26)</f>
        <v>572</v>
      </c>
      <c r="K11" s="54">
        <f>MAX(Data!D27:Z27)</f>
        <v>1371</v>
      </c>
      <c r="L11" s="46">
        <f t="shared" si="47"/>
        <v>39.38607594936709</v>
      </c>
      <c r="M11" s="12">
        <f t="shared" si="48"/>
        <v>886.33333333333337</v>
      </c>
      <c r="N11" s="12">
        <f t="shared" si="49"/>
        <v>295.44444444444446</v>
      </c>
      <c r="O11" s="12">
        <f t="shared" si="50"/>
        <v>56.176056338028168</v>
      </c>
      <c r="P11" s="32">
        <v>1956</v>
      </c>
      <c r="Q11" s="39">
        <f t="shared" si="51"/>
        <v>9</v>
      </c>
      <c r="R11" s="39">
        <v>1973</v>
      </c>
      <c r="S11" s="39">
        <v>1981</v>
      </c>
      <c r="T11" s="32">
        <f>VLOOKUP($B11&amp;"1",Data!$A:$AB,27, FALSE)</f>
        <v>32</v>
      </c>
      <c r="U11" s="32">
        <f>VLOOKUP($B11&amp;"2",Data!$A:$AB,27, FALSE)</f>
        <v>2700</v>
      </c>
      <c r="V11" s="32">
        <f>VLOOKUP($B11&amp;"3",Data!$A:$AB,27, FALSE)</f>
        <v>3292</v>
      </c>
      <c r="W11" s="32">
        <f>VLOOKUP($B11&amp;"4",Data!$A:$AB,27, FALSE)</f>
        <v>1953</v>
      </c>
      <c r="X11" s="32">
        <f t="shared" si="10"/>
        <v>41</v>
      </c>
      <c r="Y11" s="32">
        <f t="shared" si="11"/>
        <v>4</v>
      </c>
      <c r="Z11" s="32">
        <f t="shared" si="12"/>
        <v>6</v>
      </c>
      <c r="AA11" s="32">
        <f t="shared" si="13"/>
        <v>11</v>
      </c>
      <c r="AB11" s="32">
        <f>VLOOKUP($B11&amp;"1",Data!$A:$AB,28, FALSE)</f>
        <v>1</v>
      </c>
      <c r="AC11" s="32">
        <f>VLOOKUP($B11&amp;"2",Data!$A:$AB,28, FALSE)</f>
        <v>8</v>
      </c>
      <c r="AD11" s="32">
        <f>VLOOKUP($B11&amp;"3",Data!$A:$AB,28, FALSE)</f>
        <v>9</v>
      </c>
      <c r="AE11" s="32">
        <f>VLOOKUP($B11&amp;"4",Data!$A:$AB,28, FALSE)</f>
        <v>9</v>
      </c>
      <c r="AF11" s="32">
        <f t="shared" si="52"/>
        <v>32</v>
      </c>
      <c r="AG11" s="32">
        <f t="shared" si="53"/>
        <v>337.5</v>
      </c>
      <c r="AH11" s="32">
        <f t="shared" si="54"/>
        <v>365.77777777777777</v>
      </c>
      <c r="AI11" s="32">
        <f t="shared" si="55"/>
        <v>217</v>
      </c>
      <c r="AJ11" s="39">
        <v>27</v>
      </c>
      <c r="AK11" s="39">
        <v>27</v>
      </c>
      <c r="AL11" s="39">
        <v>26</v>
      </c>
      <c r="AM11" s="39">
        <v>24</v>
      </c>
      <c r="AN11" s="39">
        <v>21</v>
      </c>
      <c r="AO11" s="39">
        <v>17</v>
      </c>
      <c r="AP11" s="39">
        <v>16</v>
      </c>
      <c r="AQ11" s="39">
        <v>11</v>
      </c>
      <c r="AR11" s="12">
        <f>AVERAGE(Data!E24:F24,Data!G25:K25,Data!I24:L24)</f>
        <v>444</v>
      </c>
      <c r="AS11" s="12">
        <f>AVERAGE(Data!G26,Data!I26,Data!K26:L26,Data!L25)</f>
        <v>402.6</v>
      </c>
      <c r="AT11" s="12">
        <f>AVERAGE(Data!F26)</f>
        <v>317</v>
      </c>
      <c r="AU11" s="12">
        <f>AVERAGE(Data!D25,Data!F25,Data!G24,Data!J26)</f>
        <v>122.5</v>
      </c>
      <c r="AV11" s="12">
        <f>AVERAGE(Data!D26:E26,Data!H26,Data!E25,Data!D24,Data!E23)</f>
        <v>45.5</v>
      </c>
      <c r="AW11" s="39">
        <f t="shared" si="56"/>
        <v>11</v>
      </c>
      <c r="AX11" s="39">
        <f t="shared" si="57"/>
        <v>5</v>
      </c>
      <c r="AY11" s="39">
        <f t="shared" si="58"/>
        <v>1</v>
      </c>
      <c r="AZ11" s="39">
        <f t="shared" si="59"/>
        <v>4</v>
      </c>
      <c r="BA11" s="32">
        <f t="shared" si="60"/>
        <v>6</v>
      </c>
      <c r="BB11" s="32">
        <f t="shared" si="61"/>
        <v>4884</v>
      </c>
      <c r="BC11" s="32">
        <f t="shared" si="62"/>
        <v>2013</v>
      </c>
      <c r="BD11" s="32">
        <f t="shared" si="63"/>
        <v>317</v>
      </c>
      <c r="BE11" s="32">
        <f t="shared" si="64"/>
        <v>490</v>
      </c>
      <c r="BF11" s="32">
        <f t="shared" si="65"/>
        <v>273</v>
      </c>
      <c r="BG11" s="32">
        <f t="shared" si="28"/>
        <v>7697.9052198371692</v>
      </c>
      <c r="BH11" s="39">
        <f t="shared" si="66"/>
        <v>7977</v>
      </c>
      <c r="BI11" s="83">
        <f t="shared" si="67"/>
        <v>-279.09478016283083</v>
      </c>
      <c r="BJ11" s="65">
        <f t="shared" si="68"/>
        <v>27</v>
      </c>
      <c r="BK11" s="39">
        <v>0</v>
      </c>
      <c r="BL11" s="32">
        <f>BH11-(BJ11*Timeline!$AG$202)-(BK11*Timeline!$AK$202)</f>
        <v>8466.0911430626547</v>
      </c>
      <c r="BM11" s="83">
        <f t="shared" si="69"/>
        <v>489.09114306265474</v>
      </c>
      <c r="BN11" s="32">
        <f t="shared" si="33"/>
        <v>8070.4876049931308</v>
      </c>
      <c r="BO11" s="83">
        <f t="shared" si="70"/>
        <v>93.487604993130844</v>
      </c>
      <c r="BP11" s="32">
        <f t="shared" si="71"/>
        <v>7928</v>
      </c>
      <c r="BQ11" s="83">
        <f t="shared" si="72"/>
        <v>-49</v>
      </c>
      <c r="BR11" s="83">
        <f t="shared" si="37"/>
        <v>7943.2251980445853</v>
      </c>
      <c r="BS11" s="83">
        <f t="shared" si="73"/>
        <v>-33.774801955414659</v>
      </c>
      <c r="BT11" s="32">
        <f t="shared" si="74"/>
        <v>8474.8229652455921</v>
      </c>
      <c r="BU11" s="83">
        <f t="shared" si="75"/>
        <v>497.82296524559206</v>
      </c>
      <c r="BV11" s="32">
        <f>AVERAGE(Timeline!G209:O209)</f>
        <v>-62.227870655699036</v>
      </c>
      <c r="BW11" s="32">
        <f t="shared" si="41"/>
        <v>7886.3425677445766</v>
      </c>
      <c r="BX11" s="83">
        <f t="shared" si="76"/>
        <v>-90.657432255423373</v>
      </c>
    </row>
    <row r="12" spans="1:76" s="41" customFormat="1" x14ac:dyDescent="0.2">
      <c r="A12" s="122">
        <f t="shared" si="0"/>
        <v>10</v>
      </c>
      <c r="B12" s="144" t="str">
        <f t="shared" si="43"/>
        <v>John McEnroe</v>
      </c>
      <c r="C12" s="41" t="s">
        <v>71</v>
      </c>
      <c r="D12" s="41" t="s">
        <v>70</v>
      </c>
      <c r="E12" s="41" t="s">
        <v>31</v>
      </c>
      <c r="F12" s="144">
        <f>VLOOKUP(B12&amp;"5",Data!A12:C260,3,FALSE)</f>
        <v>7077</v>
      </c>
      <c r="G12" s="41">
        <f t="shared" si="44"/>
        <v>170</v>
      </c>
      <c r="H12" s="41">
        <f t="shared" si="45"/>
        <v>38</v>
      </c>
      <c r="I12" s="45">
        <f t="shared" si="46"/>
        <v>0.81730769230769229</v>
      </c>
      <c r="J12" s="54">
        <f>MAX(Data!D43:Z46)</f>
        <v>540</v>
      </c>
      <c r="K12" s="54">
        <f>MAX(Data!D47:Z47)</f>
        <v>1303</v>
      </c>
      <c r="L12" s="46">
        <f t="shared" si="47"/>
        <v>47.706730769230766</v>
      </c>
      <c r="M12" s="12">
        <f t="shared" si="48"/>
        <v>442.3125</v>
      </c>
      <c r="N12" s="12">
        <f t="shared" si="49"/>
        <v>157.26666666666668</v>
      </c>
      <c r="O12" s="12">
        <f t="shared" si="50"/>
        <v>41.629411764705885</v>
      </c>
      <c r="P12" s="32">
        <v>1959</v>
      </c>
      <c r="Q12" s="41">
        <f t="shared" si="51"/>
        <v>16</v>
      </c>
      <c r="R12" s="41">
        <v>1977</v>
      </c>
      <c r="S12" s="41">
        <v>1992</v>
      </c>
      <c r="T12" s="32">
        <f>VLOOKUP($B12&amp;"1",Data!$A:$AB,27, FALSE)</f>
        <v>568</v>
      </c>
      <c r="U12" s="32">
        <f>VLOOKUP($B12&amp;"2",Data!$A:$AB,27, FALSE)</f>
        <v>746</v>
      </c>
      <c r="V12" s="32">
        <f>VLOOKUP($B12&amp;"3",Data!$A:$AB,27, FALSE)</f>
        <v>2650</v>
      </c>
      <c r="W12" s="32">
        <f>VLOOKUP($B12&amp;"4",Data!$A:$AB,27, FALSE)</f>
        <v>3113</v>
      </c>
      <c r="X12" s="32">
        <f t="shared" si="10"/>
        <v>26</v>
      </c>
      <c r="Y12" s="32">
        <f t="shared" si="11"/>
        <v>29</v>
      </c>
      <c r="Z12" s="32">
        <f t="shared" si="12"/>
        <v>8</v>
      </c>
      <c r="AA12" s="32">
        <f t="shared" si="13"/>
        <v>7</v>
      </c>
      <c r="AB12" s="32">
        <f>VLOOKUP($B12&amp;"1",Data!$A:$AB,28, FALSE)</f>
        <v>5</v>
      </c>
      <c r="AC12" s="32">
        <f>VLOOKUP($B12&amp;"2",Data!$A:$AB,28, FALSE)</f>
        <v>10</v>
      </c>
      <c r="AD12" s="32">
        <f>VLOOKUP($B12&amp;"3",Data!$A:$AB,28, FALSE)</f>
        <v>14</v>
      </c>
      <c r="AE12" s="32">
        <f>VLOOKUP($B12&amp;"4",Data!$A:$AB,28, FALSE)</f>
        <v>16</v>
      </c>
      <c r="AF12" s="32">
        <f t="shared" si="52"/>
        <v>113.6</v>
      </c>
      <c r="AG12" s="32">
        <f t="shared" si="53"/>
        <v>74.599999999999994</v>
      </c>
      <c r="AH12" s="32">
        <f t="shared" si="54"/>
        <v>189.28571428571428</v>
      </c>
      <c r="AI12" s="32">
        <f t="shared" si="55"/>
        <v>194.5625</v>
      </c>
      <c r="AJ12" s="41">
        <v>45</v>
      </c>
      <c r="AK12" s="41">
        <v>39</v>
      </c>
      <c r="AL12" s="41">
        <v>35</v>
      </c>
      <c r="AM12" s="41">
        <v>33</v>
      </c>
      <c r="AN12" s="41">
        <v>26</v>
      </c>
      <c r="AO12" s="41">
        <v>19</v>
      </c>
      <c r="AP12" s="41">
        <v>11</v>
      </c>
      <c r="AQ12" s="41">
        <v>7</v>
      </c>
      <c r="AR12" s="12">
        <f>AVERAGE(Data!F46:H46,Data!H45,Data!J45:K45,Data!K46)</f>
        <v>447.14285714285717</v>
      </c>
      <c r="AS12" s="12">
        <f>AVERAGE(Data!G45,Data!I45,Data!K44,Data!L46)</f>
        <v>347</v>
      </c>
      <c r="AT12" s="12">
        <f>AVERAGE(Data!E46,Data!D45,Data!I46,Data!J43,Data!L44,Data!P45,Data!Q46,Data!S45)</f>
        <v>230.5</v>
      </c>
      <c r="AU12" s="12">
        <f>AVERAGE(Data!H44,Data!J44,Data!L43,Data!L45,Data!N46,Data!P43,Data!S43)</f>
        <v>130</v>
      </c>
      <c r="AV12" s="12">
        <f>AVERAGE(Data!D44,Data!D46,Data!E45:F45,Data!G44,Data!J46,Data!M46,Data!N44:O44,Data!O45:O46,Data!P46,Data!R46:S46,Data!Q45:R45,Data!R44:S44,Data!Q43)</f>
        <v>-10.263157894736842</v>
      </c>
      <c r="AW12" s="41">
        <f t="shared" si="56"/>
        <v>7</v>
      </c>
      <c r="AX12" s="41">
        <f t="shared" si="57"/>
        <v>4</v>
      </c>
      <c r="AY12" s="41">
        <f t="shared" si="58"/>
        <v>8</v>
      </c>
      <c r="AZ12" s="41">
        <f t="shared" si="59"/>
        <v>7</v>
      </c>
      <c r="BA12" s="32">
        <f t="shared" si="60"/>
        <v>19</v>
      </c>
      <c r="BB12" s="32">
        <f t="shared" si="61"/>
        <v>3130</v>
      </c>
      <c r="BC12" s="32">
        <f t="shared" si="62"/>
        <v>1388</v>
      </c>
      <c r="BD12" s="32">
        <f t="shared" si="63"/>
        <v>1844</v>
      </c>
      <c r="BE12" s="32">
        <f t="shared" si="64"/>
        <v>910</v>
      </c>
      <c r="BF12" s="32">
        <f t="shared" si="65"/>
        <v>-195</v>
      </c>
      <c r="BG12" s="32">
        <f t="shared" si="28"/>
        <v>7717.0787587734758</v>
      </c>
      <c r="BH12" s="41">
        <f t="shared" si="66"/>
        <v>7077</v>
      </c>
      <c r="BI12" s="83">
        <f t="shared" si="67"/>
        <v>640.07875877347578</v>
      </c>
      <c r="BJ12" s="65">
        <f t="shared" si="68"/>
        <v>45</v>
      </c>
      <c r="BK12" s="41">
        <v>0</v>
      </c>
      <c r="BL12" s="32">
        <f>BH12-(BJ12*Timeline!$AG$202)-(BK12*Timeline!$AK$202)</f>
        <v>7892.1519051044261</v>
      </c>
      <c r="BM12" s="83">
        <f t="shared" si="69"/>
        <v>815.15190510442608</v>
      </c>
      <c r="BN12" s="32">
        <f t="shared" si="33"/>
        <v>7496.5483670349022</v>
      </c>
      <c r="BO12" s="83">
        <f t="shared" si="70"/>
        <v>419.54836703490218</v>
      </c>
      <c r="BP12" s="32">
        <f t="shared" si="71"/>
        <v>7628</v>
      </c>
      <c r="BQ12" s="83">
        <f t="shared" si="72"/>
        <v>551</v>
      </c>
      <c r="BR12" s="83">
        <f t="shared" si="37"/>
        <v>7643.2251980445853</v>
      </c>
      <c r="BS12" s="83">
        <f t="shared" si="73"/>
        <v>566.22519804458534</v>
      </c>
      <c r="BT12" s="32">
        <f t="shared" si="74"/>
        <v>8520.4020628116759</v>
      </c>
      <c r="BU12" s="83">
        <f t="shared" si="75"/>
        <v>1443.4020628116759</v>
      </c>
      <c r="BV12" s="32">
        <f>AVERAGE(Timeline!K209:Z209)</f>
        <v>-96.226804187445069</v>
      </c>
      <c r="BW12" s="32">
        <f t="shared" si="41"/>
        <v>7931.9216653106605</v>
      </c>
      <c r="BX12" s="83">
        <f t="shared" si="76"/>
        <v>854.9216653106605</v>
      </c>
    </row>
    <row r="13" spans="1:76" s="48" customFormat="1" x14ac:dyDescent="0.2">
      <c r="A13" s="122">
        <f t="shared" si="0"/>
        <v>11</v>
      </c>
      <c r="B13" s="144" t="str">
        <f t="shared" si="43"/>
        <v>Boris Becker</v>
      </c>
      <c r="C13" s="48" t="s">
        <v>89</v>
      </c>
      <c r="D13" s="48" t="s">
        <v>90</v>
      </c>
      <c r="E13" s="48" t="s">
        <v>91</v>
      </c>
      <c r="F13" s="144">
        <f>VLOOKUP(B13&amp;"5",Data!A13:C261,3,FALSE)</f>
        <v>6740</v>
      </c>
      <c r="G13" s="48">
        <f t="shared" si="44"/>
        <v>165</v>
      </c>
      <c r="H13" s="48">
        <f t="shared" si="45"/>
        <v>40</v>
      </c>
      <c r="I13" s="45">
        <f t="shared" si="46"/>
        <v>0.80487804878048785</v>
      </c>
      <c r="J13" s="54">
        <f>MAX(Data!D58:Z61)</f>
        <v>527</v>
      </c>
      <c r="K13" s="54">
        <f>MAX(Data!D62:Z62)</f>
        <v>1126</v>
      </c>
      <c r="L13" s="46">
        <f t="shared" si="47"/>
        <v>47.609756097560975</v>
      </c>
      <c r="M13" s="12">
        <f t="shared" si="48"/>
        <v>421.25</v>
      </c>
      <c r="N13" s="12">
        <f t="shared" si="49"/>
        <v>146.52173913043478</v>
      </c>
      <c r="O13" s="12">
        <f t="shared" si="50"/>
        <v>40.848484848484851</v>
      </c>
      <c r="P13" s="32">
        <v>1967</v>
      </c>
      <c r="Q13" s="48">
        <f t="shared" si="51"/>
        <v>16</v>
      </c>
      <c r="R13" s="48">
        <v>1984</v>
      </c>
      <c r="S13" s="48">
        <v>1999</v>
      </c>
      <c r="T13" s="32">
        <f>VLOOKUP($B13&amp;"1",Data!$A:$AB,27, FALSE)</f>
        <v>884</v>
      </c>
      <c r="U13" s="32">
        <f>VLOOKUP($B13&amp;"2",Data!$A:$AB,27, FALSE)</f>
        <v>942</v>
      </c>
      <c r="V13" s="32">
        <f>VLOOKUP($B13&amp;"3",Data!$A:$AB,27, FALSE)</f>
        <v>3615</v>
      </c>
      <c r="W13" s="32">
        <f>VLOOKUP($B13&amp;"4",Data!$A:$AB,27, FALSE)</f>
        <v>1299</v>
      </c>
      <c r="X13" s="32">
        <f t="shared" si="10"/>
        <v>21</v>
      </c>
      <c r="Y13" s="32">
        <f t="shared" si="11"/>
        <v>23</v>
      </c>
      <c r="Z13" s="32">
        <f t="shared" si="12"/>
        <v>4</v>
      </c>
      <c r="AA13" s="32">
        <f t="shared" si="13"/>
        <v>21</v>
      </c>
      <c r="AB13" s="32">
        <f>VLOOKUP($B13&amp;"1",Data!$A:$AB,28, FALSE)</f>
        <v>11</v>
      </c>
      <c r="AC13" s="32">
        <f>VLOOKUP($B13&amp;"2",Data!$A:$AB,28, FALSE)</f>
        <v>9</v>
      </c>
      <c r="AD13" s="32">
        <f>VLOOKUP($B13&amp;"3",Data!$A:$AB,28, FALSE)</f>
        <v>15</v>
      </c>
      <c r="AE13" s="32">
        <f>VLOOKUP($B13&amp;"4",Data!$A:$AB,28, FALSE)</f>
        <v>11</v>
      </c>
      <c r="AF13" s="32">
        <f t="shared" si="52"/>
        <v>80.36363636363636</v>
      </c>
      <c r="AG13" s="32">
        <f t="shared" si="53"/>
        <v>104.66666666666667</v>
      </c>
      <c r="AH13" s="32">
        <f t="shared" si="54"/>
        <v>241</v>
      </c>
      <c r="AI13" s="32">
        <f t="shared" si="55"/>
        <v>118.09090909090909</v>
      </c>
      <c r="AJ13" s="48">
        <v>46</v>
      </c>
      <c r="AK13" s="48">
        <v>41</v>
      </c>
      <c r="AL13" s="48">
        <v>36</v>
      </c>
      <c r="AM13" s="48">
        <v>31</v>
      </c>
      <c r="AN13" s="48">
        <v>23</v>
      </c>
      <c r="AO13" s="48">
        <v>18</v>
      </c>
      <c r="AP13" s="48">
        <v>10</v>
      </c>
      <c r="AQ13" s="48">
        <v>6</v>
      </c>
      <c r="AR13" s="12">
        <f>AVERAGE(Data!E60:F60,Data!I60:I61,Data!K58,Data!P58)</f>
        <v>462.33333333333331</v>
      </c>
      <c r="AS13" s="12">
        <f>AVERAGE(Data!H60,Data!J60:K60,Data!O60)</f>
        <v>298.25</v>
      </c>
      <c r="AT13" s="12">
        <f>AVERAGE(Data!F61,Data!G59,Data!I59,Data!J61,Data!K59,Data!M60:N60,Data!O61)</f>
        <v>226.25</v>
      </c>
      <c r="AU13" s="12">
        <f>AVERAGE(Data!D58,Data!F59,Data!J58,Data!L60,Data!Q60)</f>
        <v>168.8</v>
      </c>
      <c r="AV13" s="12">
        <f>AVERAGE(Data!D60,Data!E58:E59,Data!E61,Data!G58,Data!G60:G61,Data!H61,Data!H59,Data!I58,Data!J59,Data!K61:N61,Data!L58:M58,Data!M59,Data!O58:O59,Data!P60,Data!Q58,Data!S60)</f>
        <v>5.1739130434782608</v>
      </c>
      <c r="AW13" s="48">
        <f t="shared" si="56"/>
        <v>6</v>
      </c>
      <c r="AX13" s="48">
        <f t="shared" si="57"/>
        <v>4</v>
      </c>
      <c r="AY13" s="48">
        <f t="shared" si="58"/>
        <v>8</v>
      </c>
      <c r="AZ13" s="48">
        <f t="shared" si="59"/>
        <v>5</v>
      </c>
      <c r="BA13" s="32">
        <f t="shared" si="60"/>
        <v>23</v>
      </c>
      <c r="BB13" s="32">
        <f t="shared" si="61"/>
        <v>2774</v>
      </c>
      <c r="BC13" s="32">
        <f t="shared" si="62"/>
        <v>1193</v>
      </c>
      <c r="BD13" s="32">
        <f t="shared" si="63"/>
        <v>1810</v>
      </c>
      <c r="BE13" s="32">
        <f t="shared" si="64"/>
        <v>844</v>
      </c>
      <c r="BF13" s="32">
        <f t="shared" si="65"/>
        <v>119</v>
      </c>
      <c r="BG13" s="32">
        <f t="shared" si="28"/>
        <v>6974.4333890308717</v>
      </c>
      <c r="BH13" s="48">
        <f t="shared" si="66"/>
        <v>6740</v>
      </c>
      <c r="BI13" s="83">
        <f t="shared" si="67"/>
        <v>234.43338903087169</v>
      </c>
      <c r="BJ13" s="65">
        <f t="shared" si="68"/>
        <v>46</v>
      </c>
      <c r="BK13" s="48">
        <v>0</v>
      </c>
      <c r="BL13" s="32">
        <f>BH13-(BJ13*Timeline!$AG$202)-(BK13*Timeline!$AK$202)</f>
        <v>7573.2663918845246</v>
      </c>
      <c r="BM13" s="83">
        <f t="shared" si="69"/>
        <v>833.26639188452464</v>
      </c>
      <c r="BN13" s="32">
        <f t="shared" si="33"/>
        <v>7177.6628538150007</v>
      </c>
      <c r="BO13" s="83">
        <f t="shared" si="70"/>
        <v>437.66285381500074</v>
      </c>
      <c r="BP13" s="32">
        <f t="shared" si="71"/>
        <v>6985</v>
      </c>
      <c r="BQ13" s="83">
        <f t="shared" si="72"/>
        <v>245</v>
      </c>
      <c r="BR13" s="83">
        <f t="shared" si="37"/>
        <v>7000.2251980445853</v>
      </c>
      <c r="BS13" s="83">
        <f t="shared" si="73"/>
        <v>260.22519804458534</v>
      </c>
      <c r="BT13" s="32">
        <f t="shared" si="74"/>
        <v>8356.4789160093496</v>
      </c>
      <c r="BU13" s="83">
        <f t="shared" si="75"/>
        <v>1616.4789160093496</v>
      </c>
      <c r="BV13" s="32">
        <f>AVERAGE(Timeline!R209:AG209)</f>
        <v>-107.76526106729001</v>
      </c>
      <c r="BW13" s="32">
        <f t="shared" si="41"/>
        <v>7767.9985185083342</v>
      </c>
      <c r="BX13" s="83">
        <f t="shared" si="76"/>
        <v>1027.9985185083342</v>
      </c>
    </row>
    <row r="14" spans="1:76" s="50" customFormat="1" x14ac:dyDescent="0.2">
      <c r="A14" s="122">
        <f t="shared" si="0"/>
        <v>12</v>
      </c>
      <c r="B14" s="144" t="str">
        <f t="shared" si="43"/>
        <v>Stefan Edberg</v>
      </c>
      <c r="C14" s="50" t="s">
        <v>88</v>
      </c>
      <c r="D14" s="50" t="s">
        <v>87</v>
      </c>
      <c r="E14" s="50" t="s">
        <v>32</v>
      </c>
      <c r="F14" s="144">
        <f>VLOOKUP(B14&amp;"5",Data!A14:C261,3,FALSE)</f>
        <v>6568</v>
      </c>
      <c r="G14" s="50">
        <f t="shared" si="44"/>
        <v>182</v>
      </c>
      <c r="H14" s="50">
        <f t="shared" si="45"/>
        <v>48</v>
      </c>
      <c r="I14" s="45">
        <f t="shared" si="46"/>
        <v>0.79130434782608694</v>
      </c>
      <c r="J14" s="54">
        <f>MAX(Data!D53:Z56)</f>
        <v>546</v>
      </c>
      <c r="K14" s="54">
        <f>MAX(Data!D57:Z57)</f>
        <v>921</v>
      </c>
      <c r="L14" s="46">
        <f t="shared" si="47"/>
        <v>50.573913043478264</v>
      </c>
      <c r="M14" s="12">
        <f t="shared" si="48"/>
        <v>469.14285714285717</v>
      </c>
      <c r="N14" s="12">
        <f t="shared" si="49"/>
        <v>121.62962962962963</v>
      </c>
      <c r="O14" s="12">
        <f t="shared" si="50"/>
        <v>36.087912087912088</v>
      </c>
      <c r="P14" s="32">
        <v>1966</v>
      </c>
      <c r="Q14" s="50">
        <f t="shared" si="51"/>
        <v>14</v>
      </c>
      <c r="R14" s="50">
        <v>1983</v>
      </c>
      <c r="S14" s="50">
        <v>1996</v>
      </c>
      <c r="T14" s="32">
        <f>VLOOKUP($B14&amp;"1",Data!$A:$AB,27, FALSE)</f>
        <v>2167</v>
      </c>
      <c r="U14" s="32">
        <f>VLOOKUP($B14&amp;"2",Data!$A:$AB,27, FALSE)</f>
        <v>951</v>
      </c>
      <c r="V14" s="32">
        <f>VLOOKUP($B14&amp;"3",Data!$A:$AB,27, FALSE)</f>
        <v>1683</v>
      </c>
      <c r="W14" s="32">
        <f>VLOOKUP($B14&amp;"4",Data!$A:$AB,27, FALSE)</f>
        <v>1767</v>
      </c>
      <c r="X14" s="32">
        <f t="shared" si="10"/>
        <v>7</v>
      </c>
      <c r="Y14" s="32">
        <f t="shared" si="11"/>
        <v>22</v>
      </c>
      <c r="Z14" s="32">
        <f t="shared" si="12"/>
        <v>11</v>
      </c>
      <c r="AA14" s="32">
        <f t="shared" si="13"/>
        <v>15</v>
      </c>
      <c r="AB14" s="32">
        <f>VLOOKUP($B14&amp;"1",Data!$A:$AB,28, FALSE)</f>
        <v>13</v>
      </c>
      <c r="AC14" s="32">
        <f>VLOOKUP($B14&amp;"2",Data!$A:$AB,28, FALSE)</f>
        <v>13</v>
      </c>
      <c r="AD14" s="32">
        <f>VLOOKUP($B14&amp;"3",Data!$A:$AB,28, FALSE)</f>
        <v>14</v>
      </c>
      <c r="AE14" s="32">
        <f>VLOOKUP($B14&amp;"4",Data!$A:$AB,28, FALSE)</f>
        <v>14</v>
      </c>
      <c r="AF14" s="32">
        <f t="shared" si="52"/>
        <v>166.69230769230768</v>
      </c>
      <c r="AG14" s="32">
        <f t="shared" si="53"/>
        <v>73.15384615384616</v>
      </c>
      <c r="AH14" s="32">
        <f t="shared" si="54"/>
        <v>120.21428571428571</v>
      </c>
      <c r="AI14" s="32">
        <f t="shared" si="55"/>
        <v>126.21428571428571</v>
      </c>
      <c r="AJ14" s="50">
        <v>54</v>
      </c>
      <c r="AK14" s="50">
        <v>50</v>
      </c>
      <c r="AL14" s="50">
        <v>37</v>
      </c>
      <c r="AM14" s="50">
        <v>33</v>
      </c>
      <c r="AN14" s="50">
        <v>26</v>
      </c>
      <c r="AO14" s="50">
        <v>19</v>
      </c>
      <c r="AP14" s="50">
        <v>11</v>
      </c>
      <c r="AQ14" s="50">
        <v>6</v>
      </c>
      <c r="AR14" s="12">
        <f>AVERAGE(Data!F53,Data!H53,Data!I55,Data!K55,Data!L56:M56)</f>
        <v>405.16666666666669</v>
      </c>
      <c r="AS14" s="12">
        <f>AVERAGE(Data!J54:J55,Data!K53,Data!M53:N53)</f>
        <v>285.8</v>
      </c>
      <c r="AT14" s="12">
        <f>AVERAGE(Data!G56:H56,Data!H55,Data!I53,Data!L53,Data!L55,Data!N55,Data!O53)</f>
        <v>200.75</v>
      </c>
      <c r="AU14" s="12">
        <f>AVERAGE(Data!E53,Data!F54,Data!J53,Data!L54,Data!M55,Data!N54,Data!Q56)</f>
        <v>139.85714285714286</v>
      </c>
      <c r="AV14" s="12">
        <f>AVERAGE(Data!Q53:Q55,Data!P53:P56,Data!N56:O56,Data!O54:O55,Data!M54,Data!K54,Data!I56:K56,Data!G54:I54,Data!D56:F56,Data!D55:G55,Data!E54,Data!D53)</f>
        <v>4.3928571428571432</v>
      </c>
      <c r="AW14" s="50">
        <f t="shared" si="56"/>
        <v>6</v>
      </c>
      <c r="AX14" s="50">
        <f t="shared" si="57"/>
        <v>5</v>
      </c>
      <c r="AY14" s="50">
        <f t="shared" si="58"/>
        <v>8</v>
      </c>
      <c r="AZ14" s="50">
        <f t="shared" si="59"/>
        <v>7</v>
      </c>
      <c r="BA14" s="32">
        <f t="shared" si="60"/>
        <v>28</v>
      </c>
      <c r="BB14" s="32">
        <f t="shared" si="61"/>
        <v>2431</v>
      </c>
      <c r="BC14" s="32">
        <f t="shared" si="62"/>
        <v>1429</v>
      </c>
      <c r="BD14" s="32">
        <f t="shared" si="63"/>
        <v>1606</v>
      </c>
      <c r="BE14" s="32">
        <f t="shared" si="64"/>
        <v>979</v>
      </c>
      <c r="BF14" s="32">
        <f t="shared" si="65"/>
        <v>123.00000000000001</v>
      </c>
      <c r="BG14" s="32">
        <f t="shared" si="28"/>
        <v>7666.6330647640561</v>
      </c>
      <c r="BH14" s="52">
        <f t="shared" si="66"/>
        <v>6568</v>
      </c>
      <c r="BI14" s="83">
        <f t="shared" si="67"/>
        <v>1098.6330647640561</v>
      </c>
      <c r="BJ14" s="65">
        <f t="shared" si="68"/>
        <v>54</v>
      </c>
      <c r="BK14" s="50">
        <v>0</v>
      </c>
      <c r="BL14" s="32">
        <f>BH14-(BJ14*Timeline!$AG$202)-(BK14*Timeline!$AK$202)</f>
        <v>7546.1822861253113</v>
      </c>
      <c r="BM14" s="83">
        <f t="shared" si="69"/>
        <v>978.18228612531129</v>
      </c>
      <c r="BN14" s="32">
        <f t="shared" si="33"/>
        <v>7150.5787480557874</v>
      </c>
      <c r="BO14" s="83">
        <f t="shared" si="70"/>
        <v>582.5787480557874</v>
      </c>
      <c r="BP14" s="32">
        <f t="shared" si="71"/>
        <v>6657</v>
      </c>
      <c r="BQ14" s="83">
        <f t="shared" si="72"/>
        <v>89</v>
      </c>
      <c r="BR14" s="83">
        <f t="shared" si="37"/>
        <v>6672.2251980445853</v>
      </c>
      <c r="BS14" s="83">
        <f t="shared" si="73"/>
        <v>104.22519804458534</v>
      </c>
      <c r="BT14" s="32">
        <f t="shared" si="74"/>
        <v>7939.2583786147907</v>
      </c>
      <c r="BU14" s="83">
        <f t="shared" si="75"/>
        <v>1371.2583786147907</v>
      </c>
      <c r="BV14" s="32">
        <f>AVERAGE(Timeline!Q209:AD209)</f>
        <v>-105.48141373959926</v>
      </c>
      <c r="BW14" s="32">
        <f t="shared" si="41"/>
        <v>7350.7779811137752</v>
      </c>
      <c r="BX14" s="83">
        <f t="shared" si="76"/>
        <v>782.77798111377524</v>
      </c>
    </row>
    <row r="15" spans="1:76" s="58" customFormat="1" x14ac:dyDescent="0.2">
      <c r="A15" s="122">
        <f t="shared" si="0"/>
        <v>13</v>
      </c>
      <c r="B15" s="144" t="str">
        <f t="shared" si="43"/>
        <v>Mats Wilander</v>
      </c>
      <c r="C15" s="58" t="s">
        <v>83</v>
      </c>
      <c r="D15" s="58" t="s">
        <v>82</v>
      </c>
      <c r="E15" s="58" t="s">
        <v>32</v>
      </c>
      <c r="F15" s="144">
        <f>VLOOKUP(B15&amp;"5",Data!A15:C261,3,FALSE)</f>
        <v>5919</v>
      </c>
      <c r="G15" s="58">
        <f t="shared" si="44"/>
        <v>147</v>
      </c>
      <c r="H15" s="58">
        <f t="shared" si="45"/>
        <v>37</v>
      </c>
      <c r="I15" s="45">
        <f t="shared" si="46"/>
        <v>0.79891304347826086</v>
      </c>
      <c r="J15" s="54">
        <f>MAX(Data!D48:Z51)</f>
        <v>508</v>
      </c>
      <c r="K15" s="54">
        <f>MAX(Data!D52:Z52)</f>
        <v>1510</v>
      </c>
      <c r="L15" s="46">
        <f t="shared" si="47"/>
        <v>47.722826086956523</v>
      </c>
      <c r="M15" s="12">
        <f t="shared" si="48"/>
        <v>369.9375</v>
      </c>
      <c r="N15" s="12">
        <f t="shared" si="49"/>
        <v>134.52272727272728</v>
      </c>
      <c r="O15" s="12">
        <f t="shared" si="50"/>
        <v>40.265306122448976</v>
      </c>
      <c r="P15" s="32">
        <v>1964</v>
      </c>
      <c r="Q15" s="58">
        <f t="shared" si="51"/>
        <v>16</v>
      </c>
      <c r="R15" s="58">
        <v>1981</v>
      </c>
      <c r="S15" s="58">
        <v>1996</v>
      </c>
      <c r="T15" s="32">
        <f>VLOOKUP($B15&amp;"1",Data!$A:$AB,27, FALSE)</f>
        <v>1509</v>
      </c>
      <c r="U15" s="32">
        <f>VLOOKUP($B15&amp;"2",Data!$A:$AB,27, FALSE)</f>
        <v>2482</v>
      </c>
      <c r="V15" s="32">
        <f>VLOOKUP($B15&amp;"3",Data!$A:$AB,27, FALSE)</f>
        <v>436</v>
      </c>
      <c r="W15" s="32">
        <f>VLOOKUP($B15&amp;"4",Data!$A:$AB,27, FALSE)</f>
        <v>1492</v>
      </c>
      <c r="X15" s="32">
        <f t="shared" si="10"/>
        <v>10</v>
      </c>
      <c r="Y15" s="32">
        <f t="shared" si="11"/>
        <v>6</v>
      </c>
      <c r="Z15" s="32">
        <f t="shared" si="12"/>
        <v>30</v>
      </c>
      <c r="AA15" s="32">
        <f t="shared" si="13"/>
        <v>18</v>
      </c>
      <c r="AB15" s="32">
        <f>VLOOKUP($B15&amp;"1",Data!$A:$AB,28, FALSE)</f>
        <v>10</v>
      </c>
      <c r="AC15" s="32">
        <f>VLOOKUP($B15&amp;"2",Data!$A:$AB,28, FALSE)</f>
        <v>12</v>
      </c>
      <c r="AD15" s="32">
        <f>VLOOKUP($B15&amp;"3",Data!$A:$AB,28, FALSE)</f>
        <v>10</v>
      </c>
      <c r="AE15" s="32">
        <f>VLOOKUP($B15&amp;"4",Data!$A:$AB,28, FALSE)</f>
        <v>12</v>
      </c>
      <c r="AF15" s="32">
        <f t="shared" si="52"/>
        <v>150.9</v>
      </c>
      <c r="AG15" s="32">
        <f t="shared" si="53"/>
        <v>206.83333333333334</v>
      </c>
      <c r="AH15" s="32">
        <f t="shared" si="54"/>
        <v>43.6</v>
      </c>
      <c r="AI15" s="32">
        <f t="shared" si="55"/>
        <v>124.33333333333333</v>
      </c>
      <c r="AJ15" s="58">
        <v>44</v>
      </c>
      <c r="AK15" s="58">
        <v>38</v>
      </c>
      <c r="AL15" s="58">
        <v>31</v>
      </c>
      <c r="AM15" s="58">
        <v>26</v>
      </c>
      <c r="AN15" s="58">
        <v>20</v>
      </c>
      <c r="AO15" s="58">
        <v>14</v>
      </c>
      <c r="AP15" s="58">
        <v>11</v>
      </c>
      <c r="AQ15" s="58">
        <v>7</v>
      </c>
      <c r="AR15" s="12">
        <f>AVERAGE(Data!E49,Data!F48:G48,Data!H49,Data!K48:K49,Data!K51)</f>
        <v>461.85714285714283</v>
      </c>
      <c r="AS15" s="12">
        <f>AVERAGE(Data!F49,Data!H48,Data!J49,Data!J51)</f>
        <v>307</v>
      </c>
      <c r="AT15" s="12">
        <f>AVERAGE(Data!G49,Data!H51,Data!M48)</f>
        <v>255.33333333333334</v>
      </c>
      <c r="AU15" s="12">
        <f>AVERAGE(Data!J50:L50,Data!L49,Data!F51:G51)</f>
        <v>142.33333333333334</v>
      </c>
      <c r="AV15" s="12">
        <f>AVERAGE(Data!D48,Data!D50:I50,Data!I49,Data!I51,Data!E51,Data!L51:M51,Data!L48,Data!N48:N49,Data!Q48:R48,Data!Q49:S49,Data!P51:R51,Data!R50)</f>
        <v>-6.75</v>
      </c>
      <c r="AW15" s="58">
        <f t="shared" si="56"/>
        <v>7</v>
      </c>
      <c r="AX15" s="58">
        <f t="shared" si="57"/>
        <v>4</v>
      </c>
      <c r="AY15" s="58">
        <f t="shared" si="58"/>
        <v>3</v>
      </c>
      <c r="AZ15" s="58">
        <f t="shared" si="59"/>
        <v>6</v>
      </c>
      <c r="BA15" s="32">
        <f t="shared" si="60"/>
        <v>24</v>
      </c>
      <c r="BB15" s="32">
        <f t="shared" si="61"/>
        <v>3233</v>
      </c>
      <c r="BC15" s="32">
        <f t="shared" si="62"/>
        <v>1228</v>
      </c>
      <c r="BD15" s="32">
        <f t="shared" si="63"/>
        <v>766</v>
      </c>
      <c r="BE15" s="32">
        <f t="shared" si="64"/>
        <v>854</v>
      </c>
      <c r="BF15" s="32">
        <f t="shared" si="65"/>
        <v>-162</v>
      </c>
      <c r="BG15" s="32">
        <f t="shared" si="28"/>
        <v>6412.3635225644848</v>
      </c>
      <c r="BH15" s="58">
        <f t="shared" si="66"/>
        <v>5919</v>
      </c>
      <c r="BI15" s="83">
        <f t="shared" si="67"/>
        <v>493.36352256448481</v>
      </c>
      <c r="BJ15" s="65">
        <f t="shared" si="68"/>
        <v>44</v>
      </c>
      <c r="BK15" s="58">
        <v>0</v>
      </c>
      <c r="BL15" s="32">
        <f>BH15-(BJ15*Timeline!$AG$202)-(BK15*Timeline!$AK$202)</f>
        <v>6716.0374183243275</v>
      </c>
      <c r="BM15" s="83">
        <f t="shared" si="69"/>
        <v>797.03741832432752</v>
      </c>
      <c r="BN15" s="32">
        <f t="shared" si="33"/>
        <v>6320.4338802548036</v>
      </c>
      <c r="BO15" s="83">
        <f t="shared" si="70"/>
        <v>401.43388025480363</v>
      </c>
      <c r="BP15" s="32">
        <f t="shared" si="71"/>
        <v>6155</v>
      </c>
      <c r="BQ15" s="83">
        <f t="shared" si="72"/>
        <v>236</v>
      </c>
      <c r="BR15" s="83">
        <f t="shared" si="37"/>
        <v>6170.2251980445853</v>
      </c>
      <c r="BS15" s="83">
        <f t="shared" si="73"/>
        <v>251.22519804458534</v>
      </c>
      <c r="BT15" s="32">
        <f t="shared" si="74"/>
        <v>7409.2223753116759</v>
      </c>
      <c r="BU15" s="83">
        <f t="shared" si="75"/>
        <v>1490.2223753116759</v>
      </c>
      <c r="BV15" s="32">
        <f>AVERAGE(Timeline!O209:AD209)</f>
        <v>-99.348158354111732</v>
      </c>
      <c r="BW15" s="32">
        <f t="shared" si="41"/>
        <v>6820.7419778106605</v>
      </c>
      <c r="BX15" s="83">
        <f t="shared" si="76"/>
        <v>901.7419778106605</v>
      </c>
    </row>
    <row r="16" spans="1:76" s="61" customFormat="1" x14ac:dyDescent="0.2">
      <c r="A16" s="122">
        <f t="shared" si="0"/>
        <v>14</v>
      </c>
      <c r="B16" s="149" t="str">
        <f t="shared" si="43"/>
        <v>Stan Wawrinka</v>
      </c>
      <c r="C16" s="149" t="s">
        <v>141</v>
      </c>
      <c r="D16" s="149" t="s">
        <v>142</v>
      </c>
      <c r="E16" s="61" t="s">
        <v>28</v>
      </c>
      <c r="F16" s="144">
        <f>VLOOKUP(B16&amp;"5",Data!A16:C261,3,FALSE)</f>
        <v>5084</v>
      </c>
      <c r="G16" s="61">
        <f t="shared" si="44"/>
        <v>158</v>
      </c>
      <c r="H16" s="61">
        <f t="shared" si="45"/>
        <v>65</v>
      </c>
      <c r="I16" s="45">
        <f t="shared" si="46"/>
        <v>0.70852017937219736</v>
      </c>
      <c r="J16" s="54">
        <f>MAX(Data!D83:Z86)</f>
        <v>523</v>
      </c>
      <c r="K16" s="54">
        <f>MAX(Data!D87:Z87)</f>
        <v>1169</v>
      </c>
      <c r="L16" s="46">
        <f t="shared" si="47"/>
        <v>48.053811659192824</v>
      </c>
      <c r="M16" s="12">
        <f t="shared" si="48"/>
        <v>267.57894736842104</v>
      </c>
      <c r="N16" s="12">
        <f t="shared" si="49"/>
        <v>74.764705882352942</v>
      </c>
      <c r="O16" s="12">
        <f t="shared" si="50"/>
        <v>32.177215189873415</v>
      </c>
      <c r="P16" s="32">
        <v>1985</v>
      </c>
      <c r="Q16" s="61">
        <f t="shared" si="51"/>
        <v>19</v>
      </c>
      <c r="R16" s="61">
        <v>2005</v>
      </c>
      <c r="S16" s="61">
        <v>2023</v>
      </c>
      <c r="T16" s="32">
        <f>VLOOKUP($B16&amp;"1",Data!$A:$AB,27, FALSE)</f>
        <v>1432</v>
      </c>
      <c r="U16" s="32">
        <f>VLOOKUP($B16&amp;"2",Data!$A:$AB,27, FALSE)</f>
        <v>1762</v>
      </c>
      <c r="V16" s="32">
        <f>VLOOKUP($B16&amp;"3",Data!$A:$AB,27, FALSE)</f>
        <v>187</v>
      </c>
      <c r="W16" s="32">
        <f>VLOOKUP($B16&amp;"4",Data!$A:$AB,27, FALSE)</f>
        <v>1703</v>
      </c>
      <c r="X16" s="32">
        <f t="shared" si="10"/>
        <v>12</v>
      </c>
      <c r="Y16" s="32">
        <f t="shared" si="11"/>
        <v>9</v>
      </c>
      <c r="Z16" s="32">
        <f t="shared" si="12"/>
        <v>35</v>
      </c>
      <c r="AA16" s="32">
        <f t="shared" si="13"/>
        <v>16</v>
      </c>
      <c r="AB16" s="32">
        <f>VLOOKUP($B16&amp;"1",Data!$A:$AB,28, FALSE)</f>
        <v>18</v>
      </c>
      <c r="AC16" s="32">
        <f>VLOOKUP($B16&amp;"2",Data!$A:$AB,28, FALSE)</f>
        <v>19</v>
      </c>
      <c r="AD16" s="32">
        <f>VLOOKUP($B16&amp;"3",Data!$A:$AB,28, FALSE)</f>
        <v>17</v>
      </c>
      <c r="AE16" s="32">
        <f>VLOOKUP($B16&amp;"4",Data!$A:$AB,28, FALSE)</f>
        <v>16</v>
      </c>
      <c r="AF16" s="32">
        <f t="shared" si="52"/>
        <v>79.555555555555557</v>
      </c>
      <c r="AG16" s="32">
        <f t="shared" si="53"/>
        <v>92.736842105263165</v>
      </c>
      <c r="AH16" s="32">
        <f t="shared" si="54"/>
        <v>11</v>
      </c>
      <c r="AI16" s="32">
        <f t="shared" si="55"/>
        <v>106.4375</v>
      </c>
      <c r="AJ16" s="61">
        <v>68</v>
      </c>
      <c r="AK16" s="61">
        <v>54</v>
      </c>
      <c r="AL16" s="61">
        <v>42</v>
      </c>
      <c r="AM16" s="61">
        <v>28</v>
      </c>
      <c r="AN16" s="61">
        <v>18</v>
      </c>
      <c r="AO16" s="61">
        <v>9</v>
      </c>
      <c r="AP16" s="61">
        <v>4</v>
      </c>
      <c r="AQ16" s="61">
        <v>3</v>
      </c>
      <c r="AR16" s="12">
        <f>AVERAGE(Data!O86,Data!N84,Data!M83)</f>
        <v>470.66666666666669</v>
      </c>
      <c r="AS16" s="12">
        <f>AVERAGE(Data!P84)</f>
        <v>387</v>
      </c>
      <c r="AT16" s="12">
        <f>AVERAGE(Data!P83,Data!O84,Data!N86,Data!L86,Data!N83)</f>
        <v>257</v>
      </c>
      <c r="AU16" s="12">
        <f>AVERAGE(Data!I86,Data!J83,Data!L84,Data!M85:M86,Data!N85,Data!R84)</f>
        <v>217.42857142857142</v>
      </c>
      <c r="AV16" s="12">
        <f>AVERAGE(Data!D84:H86,Data!E83:I83,Data!I84:I85,Data!J84:K86,Data!K83:L83,Data!L85,Data!M84,Data!O83,Data!O85:Q85,Data!Q83:Q84,Data!Q86,Data!R83,Data!T83,Data!U84:U86,Data!V83:V84,Data!V85)</f>
        <v>4.042553191489362</v>
      </c>
      <c r="AW16" s="61">
        <f t="shared" si="56"/>
        <v>3</v>
      </c>
      <c r="AX16" s="61">
        <f t="shared" si="57"/>
        <v>1</v>
      </c>
      <c r="AY16" s="61">
        <f t="shared" si="58"/>
        <v>5</v>
      </c>
      <c r="AZ16" s="61">
        <f t="shared" si="59"/>
        <v>9</v>
      </c>
      <c r="BA16" s="32">
        <f t="shared" si="60"/>
        <v>50</v>
      </c>
      <c r="BB16" s="32">
        <f t="shared" si="61"/>
        <v>1412</v>
      </c>
      <c r="BC16" s="32">
        <f t="shared" si="62"/>
        <v>387</v>
      </c>
      <c r="BD16" s="32">
        <f t="shared" si="63"/>
        <v>1285</v>
      </c>
      <c r="BE16" s="32">
        <f t="shared" si="64"/>
        <v>1956.8571428571427</v>
      </c>
      <c r="BF16" s="32">
        <f t="shared" si="65"/>
        <v>202.12765957446811</v>
      </c>
      <c r="BG16" s="32">
        <f t="shared" si="28"/>
        <v>4635.7205409097514</v>
      </c>
      <c r="BH16" s="61">
        <f t="shared" si="66"/>
        <v>5084</v>
      </c>
      <c r="BI16" s="83">
        <f t="shared" si="67"/>
        <v>-448.27945909024857</v>
      </c>
      <c r="BJ16" s="65">
        <f t="shared" si="68"/>
        <v>0</v>
      </c>
      <c r="BK16" s="61">
        <f>AJ16</f>
        <v>68</v>
      </c>
      <c r="BL16" s="32">
        <f>BH16-(BJ16*Timeline!$AG$202)-(BK16*Timeline!$AK$202)</f>
        <v>4758.9966409606031</v>
      </c>
      <c r="BM16" s="83">
        <f t="shared" si="69"/>
        <v>-325.00335903939686</v>
      </c>
      <c r="BN16" s="32">
        <f t="shared" si="33"/>
        <v>4363.3931028910793</v>
      </c>
      <c r="BO16" s="83">
        <f t="shared" si="70"/>
        <v>-720.60689710892075</v>
      </c>
      <c r="BP16" s="32">
        <f t="shared" si="71"/>
        <v>4752.8571428571431</v>
      </c>
      <c r="BQ16" s="83">
        <f t="shared" si="72"/>
        <v>-331.14285714285688</v>
      </c>
      <c r="BR16" s="83">
        <f t="shared" si="37"/>
        <v>4768.0823409017285</v>
      </c>
      <c r="BS16" s="83">
        <f t="shared" si="73"/>
        <v>-315.91765909827154</v>
      </c>
      <c r="BT16" s="32">
        <f t="shared" si="74"/>
        <v>4548.7275213289959</v>
      </c>
      <c r="BU16" s="83">
        <f t="shared" si="75"/>
        <v>-535.27247867100414</v>
      </c>
      <c r="BV16" s="32">
        <f>AVERAGE(Timeline!AM209:AZ209)</f>
        <v>29.737359926166892</v>
      </c>
      <c r="BW16" s="32">
        <f t="shared" si="41"/>
        <v>3960.2471238279804</v>
      </c>
      <c r="BX16" s="83">
        <f t="shared" si="76"/>
        <v>-1123.7528761720196</v>
      </c>
    </row>
    <row r="17" spans="1:76" s="63" customFormat="1" x14ac:dyDescent="0.2">
      <c r="A17" s="122">
        <f t="shared" si="0"/>
        <v>15</v>
      </c>
      <c r="B17" s="144" t="str">
        <f t="shared" si="43"/>
        <v>Ken Rosewall</v>
      </c>
      <c r="C17" s="63" t="s">
        <v>154</v>
      </c>
      <c r="D17" s="63" t="s">
        <v>153</v>
      </c>
      <c r="E17" s="63" t="s">
        <v>147</v>
      </c>
      <c r="F17" s="144">
        <f>VLOOKUP(B17&amp;"5",Data!A17:C261,3,FALSE)</f>
        <v>4851</v>
      </c>
      <c r="G17" s="63">
        <f t="shared" si="44"/>
        <v>101</v>
      </c>
      <c r="H17" s="63">
        <f t="shared" si="45"/>
        <v>19</v>
      </c>
      <c r="I17" s="45">
        <f t="shared" si="46"/>
        <v>0.84166666666666667</v>
      </c>
      <c r="J17" s="54">
        <f>MAX(Data!D98:Z101)</f>
        <v>523</v>
      </c>
      <c r="K17" s="54">
        <f>MAX(Data!D102:Z102)</f>
        <v>876</v>
      </c>
      <c r="L17" s="46">
        <f t="shared" si="47"/>
        <v>43.741666666666667</v>
      </c>
      <c r="M17" s="12">
        <f t="shared" si="48"/>
        <v>441</v>
      </c>
      <c r="N17" s="12">
        <f t="shared" si="49"/>
        <v>210.91304347826087</v>
      </c>
      <c r="O17" s="12">
        <f t="shared" si="50"/>
        <v>48.029702970297031</v>
      </c>
      <c r="P17" s="32">
        <v>1934</v>
      </c>
      <c r="Q17" s="63">
        <f t="shared" si="51"/>
        <v>11</v>
      </c>
      <c r="R17" s="63">
        <v>1968</v>
      </c>
      <c r="S17" s="63">
        <v>1978</v>
      </c>
      <c r="T17" s="32">
        <f>VLOOKUP($B17&amp;"1",Data!$A:$AB,27, FALSE)</f>
        <v>1217</v>
      </c>
      <c r="U17" s="32">
        <f>VLOOKUP($B17&amp;"2",Data!$A:$AB,27, FALSE)</f>
        <v>869</v>
      </c>
      <c r="V17" s="32">
        <f>VLOOKUP($B17&amp;"3",Data!$A:$AB,27, FALSE)</f>
        <v>1152</v>
      </c>
      <c r="W17" s="32">
        <f>VLOOKUP($B17&amp;"4",Data!$A:$AB,27, FALSE)</f>
        <v>1613</v>
      </c>
      <c r="X17" s="32">
        <f t="shared" si="10"/>
        <v>16</v>
      </c>
      <c r="Y17" s="32">
        <f t="shared" si="11"/>
        <v>25</v>
      </c>
      <c r="Z17" s="32">
        <f t="shared" si="12"/>
        <v>19</v>
      </c>
      <c r="AA17" s="32">
        <f t="shared" si="13"/>
        <v>17</v>
      </c>
      <c r="AB17" s="32">
        <f>VLOOKUP($B17&amp;"1",Data!$A:$AB,28, FALSE)</f>
        <v>8</v>
      </c>
      <c r="AC17" s="32">
        <f>VLOOKUP($B17&amp;"2",Data!$A:$AB,28, FALSE)</f>
        <v>2</v>
      </c>
      <c r="AD17" s="32">
        <f>VLOOKUP($B17&amp;"3",Data!$A:$AB,28, FALSE)</f>
        <v>6</v>
      </c>
      <c r="AE17" s="32">
        <f>VLOOKUP($B17&amp;"4",Data!$A:$AB,28, FALSE)</f>
        <v>7</v>
      </c>
      <c r="AF17" s="32">
        <f t="shared" si="52"/>
        <v>152.125</v>
      </c>
      <c r="AG17" s="32">
        <f t="shared" si="53"/>
        <v>434.5</v>
      </c>
      <c r="AH17" s="32">
        <f t="shared" si="54"/>
        <v>192</v>
      </c>
      <c r="AI17" s="32">
        <f t="shared" si="55"/>
        <v>230.42857142857142</v>
      </c>
      <c r="AJ17" s="63">
        <v>23</v>
      </c>
      <c r="AK17" s="63">
        <v>23</v>
      </c>
      <c r="AL17" s="63">
        <v>21</v>
      </c>
      <c r="AM17" s="63">
        <v>17</v>
      </c>
      <c r="AN17" s="63">
        <v>15</v>
      </c>
      <c r="AO17" s="63">
        <v>13</v>
      </c>
      <c r="AP17" s="63">
        <v>8</v>
      </c>
      <c r="AQ17" s="63">
        <v>4</v>
      </c>
      <c r="AR17" s="12">
        <f>AVERAGE(Data!D99,Data!F101,Data!G98:H98)</f>
        <v>477.75</v>
      </c>
      <c r="AS17" s="12">
        <f>AVERAGE(Data!J100:J101,Data!F100,Data!E99)</f>
        <v>385.5</v>
      </c>
      <c r="AT17" s="12">
        <f>AVERAGE(Data!D101,Data!G100,Data!I101,Data!K98:L98)</f>
        <v>179.6</v>
      </c>
      <c r="AU17" s="12">
        <f>AVERAGE(Data!E101,Data!M98)</f>
        <v>99</v>
      </c>
      <c r="AV17" s="12">
        <f>AVERAGE(Data!M101,Data!N98,Data!K100,Data!I98,Data!H101,Data!D100:E100,Data!E98)</f>
        <v>37.75</v>
      </c>
      <c r="AW17" s="63">
        <f t="shared" si="56"/>
        <v>4</v>
      </c>
      <c r="AX17" s="63">
        <f t="shared" si="57"/>
        <v>4</v>
      </c>
      <c r="AY17" s="63">
        <f t="shared" si="58"/>
        <v>5</v>
      </c>
      <c r="AZ17" s="63">
        <f t="shared" si="59"/>
        <v>2</v>
      </c>
      <c r="BA17" s="32">
        <f t="shared" si="60"/>
        <v>8</v>
      </c>
      <c r="BB17" s="32">
        <f t="shared" si="61"/>
        <v>1911</v>
      </c>
      <c r="BC17" s="32">
        <f t="shared" si="62"/>
        <v>1542</v>
      </c>
      <c r="BD17" s="32">
        <f t="shared" si="63"/>
        <v>898</v>
      </c>
      <c r="BE17" s="32">
        <f t="shared" si="64"/>
        <v>198</v>
      </c>
      <c r="BF17" s="32">
        <f t="shared" si="65"/>
        <v>302</v>
      </c>
      <c r="BG17" s="32">
        <f t="shared" si="28"/>
        <v>4781.6976643366888</v>
      </c>
      <c r="BH17" s="63">
        <f t="shared" si="66"/>
        <v>4851</v>
      </c>
      <c r="BI17" s="83">
        <f t="shared" si="67"/>
        <v>-69.302335663311169</v>
      </c>
      <c r="BJ17" s="65">
        <f t="shared" si="68"/>
        <v>23</v>
      </c>
      <c r="BK17" s="63">
        <v>0</v>
      </c>
      <c r="BL17" s="32">
        <f>BH17-(BJ17*Timeline!$AG$202)-(BK17*Timeline!$AK$202)</f>
        <v>5267.6331959422623</v>
      </c>
      <c r="BM17" s="83">
        <f t="shared" si="69"/>
        <v>416.63319594226232</v>
      </c>
      <c r="BN17" s="32">
        <f t="shared" si="33"/>
        <v>4872.0296578727384</v>
      </c>
      <c r="BO17" s="83">
        <f t="shared" si="70"/>
        <v>21.029657872738426</v>
      </c>
      <c r="BP17" s="32">
        <f t="shared" si="71"/>
        <v>4565</v>
      </c>
      <c r="BQ17" s="83">
        <f t="shared" si="72"/>
        <v>-286</v>
      </c>
      <c r="BR17" s="83">
        <f t="shared" si="37"/>
        <v>4580.2251980445853</v>
      </c>
      <c r="BS17" s="83">
        <f t="shared" si="73"/>
        <v>-270.77480195541466</v>
      </c>
      <c r="BT17" s="32">
        <f t="shared" si="74"/>
        <v>4963.6033818816659</v>
      </c>
      <c r="BU17" s="83">
        <f t="shared" si="75"/>
        <v>112.60338188166588</v>
      </c>
      <c r="BV17" s="32">
        <f>AVERAGE(Timeline!B209:L209)</f>
        <v>-11.260338188166559</v>
      </c>
      <c r="BW17" s="32">
        <f t="shared" si="41"/>
        <v>4375.1229843806505</v>
      </c>
      <c r="BX17" s="83">
        <f t="shared" si="76"/>
        <v>-475.87701561934955</v>
      </c>
    </row>
    <row r="18" spans="1:76" s="65" customFormat="1" x14ac:dyDescent="0.2">
      <c r="A18" s="122">
        <f t="shared" si="0"/>
        <v>16</v>
      </c>
      <c r="B18" s="144" t="str">
        <f t="shared" si="43"/>
        <v>John Newcombe</v>
      </c>
      <c r="C18" s="65" t="s">
        <v>71</v>
      </c>
      <c r="D18" s="65" t="s">
        <v>150</v>
      </c>
      <c r="E18" s="65" t="s">
        <v>147</v>
      </c>
      <c r="F18" s="144">
        <f>VLOOKUP(B18&amp;"5",Data!A18:C261,3,FALSE)</f>
        <v>4843</v>
      </c>
      <c r="G18" s="65">
        <f t="shared" si="44"/>
        <v>106</v>
      </c>
      <c r="H18" s="65">
        <f t="shared" si="45"/>
        <v>21</v>
      </c>
      <c r="I18" s="45">
        <f t="shared" si="46"/>
        <v>0.83464566929133854</v>
      </c>
      <c r="J18" s="54">
        <f>MAX(Data!D93:Z96)</f>
        <v>470</v>
      </c>
      <c r="K18" s="54">
        <f>MAX(Data!D97:Z97)</f>
        <v>1065</v>
      </c>
      <c r="L18" s="46">
        <f t="shared" si="47"/>
        <v>45.330708661417326</v>
      </c>
      <c r="M18" s="12">
        <f t="shared" si="48"/>
        <v>440.27272727272725</v>
      </c>
      <c r="N18" s="12">
        <f t="shared" si="49"/>
        <v>186.26923076923077</v>
      </c>
      <c r="O18" s="12">
        <f t="shared" si="50"/>
        <v>45.688679245283019</v>
      </c>
      <c r="P18" s="32">
        <v>1944</v>
      </c>
      <c r="Q18" s="65">
        <f t="shared" si="51"/>
        <v>11</v>
      </c>
      <c r="R18" s="65">
        <v>1968</v>
      </c>
      <c r="S18" s="65">
        <v>1978</v>
      </c>
      <c r="T18" s="32">
        <f>VLOOKUP($B18&amp;"1",Data!$A:$AB,27, FALSE)</f>
        <v>1855</v>
      </c>
      <c r="U18" s="32">
        <f>VLOOKUP($B18&amp;"2",Data!$A:$AB,27, FALSE)</f>
        <v>95</v>
      </c>
      <c r="V18" s="32">
        <f>VLOOKUP($B18&amp;"3",Data!$A:$AB,27, FALSE)</f>
        <v>1595</v>
      </c>
      <c r="W18" s="32">
        <f>VLOOKUP($B18&amp;"4",Data!$A:$AB,27, FALSE)</f>
        <v>1298</v>
      </c>
      <c r="X18" s="32">
        <f t="shared" si="10"/>
        <v>9</v>
      </c>
      <c r="Y18" s="32">
        <f t="shared" si="11"/>
        <v>42</v>
      </c>
      <c r="Z18" s="32">
        <f t="shared" si="12"/>
        <v>12</v>
      </c>
      <c r="AA18" s="32">
        <f t="shared" si="13"/>
        <v>22</v>
      </c>
      <c r="AB18" s="32">
        <f>VLOOKUP($B18&amp;"1",Data!$A:$AB,28, FALSE)</f>
        <v>9</v>
      </c>
      <c r="AC18" s="32">
        <f>VLOOKUP($B18&amp;"2",Data!$A:$AB,28, FALSE)</f>
        <v>3</v>
      </c>
      <c r="AD18" s="32">
        <f>VLOOKUP($B18&amp;"3",Data!$A:$AB,28, FALSE)</f>
        <v>7</v>
      </c>
      <c r="AE18" s="32">
        <f>VLOOKUP($B18&amp;"4",Data!$A:$AB,28, FALSE)</f>
        <v>7</v>
      </c>
      <c r="AF18" s="32">
        <f t="shared" si="52"/>
        <v>206.11111111111111</v>
      </c>
      <c r="AG18" s="32">
        <f t="shared" si="53"/>
        <v>31.666666666666668</v>
      </c>
      <c r="AH18" s="32">
        <f t="shared" si="54"/>
        <v>227.85714285714286</v>
      </c>
      <c r="AI18" s="32">
        <f t="shared" si="55"/>
        <v>185.42857142857142</v>
      </c>
      <c r="AJ18" s="65">
        <v>26</v>
      </c>
      <c r="AK18" s="65">
        <v>23</v>
      </c>
      <c r="AL18" s="65">
        <v>23</v>
      </c>
      <c r="AM18" s="65">
        <v>20</v>
      </c>
      <c r="AN18" s="65">
        <v>18</v>
      </c>
      <c r="AO18" s="65">
        <v>10</v>
      </c>
      <c r="AP18" s="65">
        <v>7</v>
      </c>
      <c r="AQ18" s="65">
        <v>5</v>
      </c>
      <c r="AR18" s="12">
        <f>AVERAGE(Data!F95:G95,Data!I93,Data!I96,Data!K93)</f>
        <v>402</v>
      </c>
      <c r="AS18" s="12">
        <f>AVERAGE(Data!E95,Data!L93)</f>
        <v>350</v>
      </c>
      <c r="AT18" s="12">
        <f>AVERAGE(Data!E96:F96,Data!J96)</f>
        <v>235.33333333333334</v>
      </c>
      <c r="AU18" s="12">
        <f>AVERAGE(Data!D96,Data!E93:E94,Data!F93,Data!H93,Data!J95,Data!J93,Data!M93)</f>
        <v>172.75</v>
      </c>
      <c r="AV18" s="12">
        <f>AVERAGE(Data!D95,Data!G96:H96,Data!G93,Data!I94,Data!L94:L95,Data!N95)</f>
        <v>5.625</v>
      </c>
      <c r="AW18" s="65">
        <f t="shared" si="56"/>
        <v>5</v>
      </c>
      <c r="AX18" s="65">
        <f t="shared" si="57"/>
        <v>2</v>
      </c>
      <c r="AY18" s="65">
        <f t="shared" si="58"/>
        <v>3</v>
      </c>
      <c r="AZ18" s="65">
        <f t="shared" si="59"/>
        <v>8</v>
      </c>
      <c r="BA18" s="32">
        <f t="shared" si="60"/>
        <v>8</v>
      </c>
      <c r="BB18" s="32">
        <f t="shared" si="61"/>
        <v>2010</v>
      </c>
      <c r="BC18" s="32">
        <f t="shared" si="62"/>
        <v>700</v>
      </c>
      <c r="BD18" s="32">
        <f t="shared" si="63"/>
        <v>706</v>
      </c>
      <c r="BE18" s="32">
        <f t="shared" si="64"/>
        <v>1382</v>
      </c>
      <c r="BF18" s="32">
        <f t="shared" si="65"/>
        <v>45</v>
      </c>
      <c r="BG18" s="32">
        <f t="shared" si="28"/>
        <v>4997.9231788946427</v>
      </c>
      <c r="BH18" s="65">
        <f t="shared" si="66"/>
        <v>4843</v>
      </c>
      <c r="BI18" s="83">
        <f t="shared" si="67"/>
        <v>154.92317889464266</v>
      </c>
      <c r="BJ18" s="65">
        <f t="shared" si="68"/>
        <v>26</v>
      </c>
      <c r="BK18" s="65">
        <v>0</v>
      </c>
      <c r="BL18" s="32">
        <f>BH18-(BJ18*Timeline!$AG$202)-(BK18*Timeline!$AK$202)</f>
        <v>5313.9766562825571</v>
      </c>
      <c r="BM18" s="83">
        <f t="shared" si="69"/>
        <v>470.97665628255709</v>
      </c>
      <c r="BN18" s="32">
        <f t="shared" si="33"/>
        <v>4918.3731182130332</v>
      </c>
      <c r="BO18" s="83">
        <f t="shared" si="70"/>
        <v>75.373118213033194</v>
      </c>
      <c r="BP18" s="32">
        <f t="shared" si="71"/>
        <v>4762</v>
      </c>
      <c r="BQ18" s="83">
        <f t="shared" si="72"/>
        <v>-81</v>
      </c>
      <c r="BR18" s="83">
        <f t="shared" si="37"/>
        <v>4777.2251980445853</v>
      </c>
      <c r="BS18" s="83">
        <f t="shared" si="73"/>
        <v>-65.774801955414659</v>
      </c>
      <c r="BT18" s="32">
        <f t="shared" si="74"/>
        <v>4955.6033818816659</v>
      </c>
      <c r="BU18" s="83">
        <f t="shared" si="75"/>
        <v>112.60338188166588</v>
      </c>
      <c r="BV18" s="32">
        <f>AVERAGE(Timeline!B209:L209)</f>
        <v>-11.260338188166559</v>
      </c>
      <c r="BW18" s="32">
        <f t="shared" si="41"/>
        <v>4367.1229843806505</v>
      </c>
      <c r="BX18" s="83">
        <f t="shared" si="76"/>
        <v>-475.87701561934955</v>
      </c>
    </row>
    <row r="19" spans="1:76" s="65" customFormat="1" x14ac:dyDescent="0.2">
      <c r="A19" s="122">
        <f t="shared" si="0"/>
        <v>17</v>
      </c>
      <c r="B19" s="144" t="str">
        <f t="shared" si="43"/>
        <v>Lleyton Hewitt</v>
      </c>
      <c r="C19" s="65" t="s">
        <v>189</v>
      </c>
      <c r="D19" s="65" t="s">
        <v>190</v>
      </c>
      <c r="E19" s="65" t="s">
        <v>147</v>
      </c>
      <c r="F19" s="144">
        <f>VLOOKUP(B19&amp;"5",Data!A19:C261,3,FALSE)</f>
        <v>4809</v>
      </c>
      <c r="G19" s="65">
        <f t="shared" si="44"/>
        <v>148</v>
      </c>
      <c r="H19" s="65">
        <f t="shared" si="45"/>
        <v>64</v>
      </c>
      <c r="I19" s="45">
        <f t="shared" si="46"/>
        <v>0.69811320754716977</v>
      </c>
      <c r="J19" s="54">
        <f>MAX(Data!D118:Z121)</f>
        <v>498</v>
      </c>
      <c r="K19" s="54">
        <f>MAX(Data!D122:Z122)</f>
        <v>877</v>
      </c>
      <c r="L19" s="46">
        <f t="shared" si="47"/>
        <v>47.127358490566039</v>
      </c>
      <c r="M19" s="12">
        <f t="shared" si="48"/>
        <v>343.5</v>
      </c>
      <c r="N19" s="12">
        <f t="shared" si="49"/>
        <v>72.86363636363636</v>
      </c>
      <c r="O19" s="12">
        <f t="shared" si="50"/>
        <v>32.493243243243242</v>
      </c>
      <c r="P19" s="32">
        <v>1981</v>
      </c>
      <c r="Q19" s="65">
        <f t="shared" si="51"/>
        <v>14</v>
      </c>
      <c r="R19" s="65">
        <v>2003</v>
      </c>
      <c r="S19" s="65">
        <v>2016</v>
      </c>
      <c r="T19" s="32">
        <f>VLOOKUP($B19&amp;"1",Data!$A:$AB,27, FALSE)</f>
        <v>762</v>
      </c>
      <c r="U19" s="32">
        <f>VLOOKUP($B19&amp;"2",Data!$A:$AB,27, FALSE)</f>
        <v>650</v>
      </c>
      <c r="V19" s="32">
        <f>VLOOKUP($B19&amp;"3",Data!$A:$AB,27, FALSE)</f>
        <v>1374</v>
      </c>
      <c r="W19" s="32">
        <f>VLOOKUP($B19&amp;"4",Data!$A:$AB,27, FALSE)</f>
        <v>2023</v>
      </c>
      <c r="X19" s="32">
        <f t="shared" si="10"/>
        <v>23</v>
      </c>
      <c r="Y19" s="32">
        <f t="shared" si="11"/>
        <v>35</v>
      </c>
      <c r="Z19" s="32">
        <f t="shared" si="12"/>
        <v>15</v>
      </c>
      <c r="AA19" s="32">
        <f t="shared" si="13"/>
        <v>9</v>
      </c>
      <c r="AB19" s="32">
        <f>VLOOKUP($B19&amp;"1",Data!$A:$AB,28, FALSE)</f>
        <v>20</v>
      </c>
      <c r="AC19" s="32">
        <f>VLOOKUP($B19&amp;"2",Data!$A:$AB,28, FALSE)</f>
        <v>14</v>
      </c>
      <c r="AD19" s="32">
        <f>VLOOKUP($B19&amp;"3",Data!$A:$AB,28, FALSE)</f>
        <v>17</v>
      </c>
      <c r="AE19" s="32">
        <f>VLOOKUP($B19&amp;"4",Data!$A:$AB,28, FALSE)</f>
        <v>15</v>
      </c>
      <c r="AF19" s="32">
        <f t="shared" si="52"/>
        <v>38.1</v>
      </c>
      <c r="AG19" s="32">
        <f t="shared" si="53"/>
        <v>46.428571428571431</v>
      </c>
      <c r="AH19" s="32">
        <f t="shared" si="54"/>
        <v>80.82352941176471</v>
      </c>
      <c r="AI19" s="32">
        <f t="shared" si="55"/>
        <v>134.86666666666667</v>
      </c>
      <c r="AJ19" s="65">
        <v>66</v>
      </c>
      <c r="AK19" s="65">
        <v>49</v>
      </c>
      <c r="AL19" s="65">
        <v>40</v>
      </c>
      <c r="AM19" s="65">
        <v>30</v>
      </c>
      <c r="AN19" s="65">
        <v>15</v>
      </c>
      <c r="AO19" s="65">
        <v>8</v>
      </c>
      <c r="AP19" s="65">
        <v>4</v>
      </c>
      <c r="AQ19" s="65">
        <v>2</v>
      </c>
      <c r="AR19" s="12">
        <f>AVERAGE(Data!H121,Data!I120)</f>
        <v>448</v>
      </c>
      <c r="AS19" s="12">
        <f>AVERAGE(Data!K121,Data!L118)</f>
        <v>327.5</v>
      </c>
      <c r="AT19" s="12">
        <f>AVERAGE(Data!G121,Data!I121,Data!L120:L121)</f>
        <v>271</v>
      </c>
      <c r="AU19" s="12">
        <f>AVERAGE(Data!H119,Data!J121,Data!K119:K120,Data!M120:M121,Data!P120)</f>
        <v>173.85714285714286</v>
      </c>
      <c r="AV19" s="12">
        <f>AVERAGE(Data!D118:K118,Data!F119:F121,Data!G119:G120,Data!H120,Data!I119:J119,Data!J120,Data!M118:M119,Data!N118:N121,Data!O118:O120,Data!P118:Q119,Data!P121:Q121,Data!Q120:V120,Data!S121:V121,Data!S119:U119,Data!R118:W118)</f>
        <v>18.764705882352942</v>
      </c>
      <c r="AW19" s="65">
        <f t="shared" si="56"/>
        <v>2</v>
      </c>
      <c r="AX19" s="65">
        <f t="shared" si="57"/>
        <v>2</v>
      </c>
      <c r="AY19" s="65">
        <f t="shared" si="58"/>
        <v>4</v>
      </c>
      <c r="AZ19" s="65">
        <f t="shared" si="59"/>
        <v>7</v>
      </c>
      <c r="BA19" s="32">
        <f t="shared" si="60"/>
        <v>51</v>
      </c>
      <c r="BB19" s="32">
        <f t="shared" si="61"/>
        <v>896</v>
      </c>
      <c r="BC19" s="32">
        <f t="shared" si="62"/>
        <v>655</v>
      </c>
      <c r="BD19" s="32">
        <f t="shared" si="63"/>
        <v>1084</v>
      </c>
      <c r="BE19" s="32">
        <f t="shared" si="64"/>
        <v>1217</v>
      </c>
      <c r="BF19" s="32">
        <f t="shared" si="65"/>
        <v>957</v>
      </c>
      <c r="BG19" s="32">
        <f t="shared" si="28"/>
        <v>3986.0446376090781</v>
      </c>
      <c r="BH19" s="65">
        <f t="shared" si="66"/>
        <v>4809</v>
      </c>
      <c r="BI19" s="83">
        <f t="shared" si="67"/>
        <v>-822.95536239092189</v>
      </c>
      <c r="BJ19" s="65">
        <f t="shared" si="68"/>
        <v>12</v>
      </c>
      <c r="BK19" s="65">
        <v>54</v>
      </c>
      <c r="BL19" s="32">
        <f>BH19-(BJ19*Timeline!$AG$202)-(BK19*Timeline!$AK$202)</f>
        <v>4768.2829385945997</v>
      </c>
      <c r="BM19" s="83">
        <f t="shared" si="69"/>
        <v>-40.717061405400273</v>
      </c>
      <c r="BN19" s="32">
        <f t="shared" si="33"/>
        <v>4372.6794005250758</v>
      </c>
      <c r="BO19" s="83">
        <f t="shared" si="70"/>
        <v>-436.32059947492417</v>
      </c>
      <c r="BP19" s="32">
        <f t="shared" si="71"/>
        <v>4194</v>
      </c>
      <c r="BQ19" s="83">
        <f t="shared" si="72"/>
        <v>-615</v>
      </c>
      <c r="BR19" s="83">
        <f t="shared" si="37"/>
        <v>4209.2251980445853</v>
      </c>
      <c r="BS19" s="83">
        <f t="shared" si="73"/>
        <v>-599.77480195541466</v>
      </c>
      <c r="BT19" s="32">
        <f t="shared" si="74"/>
        <v>4681.4612755556227</v>
      </c>
      <c r="BU19" s="83">
        <f t="shared" si="75"/>
        <v>-127.53872444437729</v>
      </c>
      <c r="BV19" s="32">
        <f>AVERAGE(Timeline!AK209:AX209)</f>
        <v>9.8106711111059806</v>
      </c>
      <c r="BW19" s="32">
        <f t="shared" si="41"/>
        <v>4092.9808780546073</v>
      </c>
      <c r="BX19" s="83">
        <f t="shared" si="76"/>
        <v>-716.01912194539273</v>
      </c>
    </row>
    <row r="20" spans="1:76" s="71" customFormat="1" x14ac:dyDescent="0.2">
      <c r="A20" s="122">
        <f t="shared" si="0"/>
        <v>18</v>
      </c>
      <c r="B20" s="144" t="str">
        <f t="shared" si="43"/>
        <v>Arthur Ashe</v>
      </c>
      <c r="C20" s="71" t="s">
        <v>159</v>
      </c>
      <c r="D20" s="71" t="s">
        <v>158</v>
      </c>
      <c r="E20" s="71" t="s">
        <v>31</v>
      </c>
      <c r="F20" s="144">
        <f>VLOOKUP(B20&amp;"5",Data!A20:C261,3,FALSE)</f>
        <v>4645</v>
      </c>
      <c r="G20" s="71">
        <f t="shared" si="44"/>
        <v>114</v>
      </c>
      <c r="H20" s="71">
        <f t="shared" si="45"/>
        <v>28</v>
      </c>
      <c r="I20" s="45">
        <f t="shared" si="46"/>
        <v>0.80281690140845074</v>
      </c>
      <c r="J20" s="54">
        <f>MAX(Data!D103:Z106)</f>
        <v>511</v>
      </c>
      <c r="K20" s="54">
        <f>MAX(Data!E107:AA107)</f>
        <v>994</v>
      </c>
      <c r="L20" s="46">
        <f t="shared" si="47"/>
        <v>47.570422535211264</v>
      </c>
      <c r="M20" s="12">
        <f t="shared" si="48"/>
        <v>387.08333333333331</v>
      </c>
      <c r="N20" s="12">
        <f t="shared" si="49"/>
        <v>149.83870967741936</v>
      </c>
      <c r="O20" s="12">
        <f t="shared" si="50"/>
        <v>40.745614035087719</v>
      </c>
      <c r="P20" s="32">
        <v>1943</v>
      </c>
      <c r="Q20" s="71">
        <f t="shared" si="51"/>
        <v>12</v>
      </c>
      <c r="R20" s="71">
        <v>1968</v>
      </c>
      <c r="S20" s="71">
        <v>1979</v>
      </c>
      <c r="T20" s="32">
        <f>VLOOKUP($B20&amp;"1",Data!$A:$AB,27, FALSE)</f>
        <v>1031</v>
      </c>
      <c r="U20" s="32">
        <f>VLOOKUP($B20&amp;"2",Data!$A:$AB,27, FALSE)</f>
        <v>687</v>
      </c>
      <c r="V20" s="32">
        <f>VLOOKUP($B20&amp;"3",Data!$A:$AB,27, FALSE)</f>
        <v>1019</v>
      </c>
      <c r="W20" s="32">
        <f>VLOOKUP($B20&amp;"4",Data!$A:$AB,27, FALSE)</f>
        <v>1908</v>
      </c>
      <c r="X20" s="32">
        <f t="shared" si="10"/>
        <v>19</v>
      </c>
      <c r="Y20" s="32">
        <f t="shared" si="11"/>
        <v>33</v>
      </c>
      <c r="Z20" s="32">
        <f t="shared" si="12"/>
        <v>21</v>
      </c>
      <c r="AA20" s="32">
        <f t="shared" si="13"/>
        <v>12</v>
      </c>
      <c r="AB20" s="32">
        <f>VLOOKUP($B20&amp;"1",Data!$A:$AB,28, FALSE)</f>
        <v>4</v>
      </c>
      <c r="AC20" s="32">
        <f>VLOOKUP($B20&amp;"2",Data!$A:$AB,28, FALSE)</f>
        <v>8</v>
      </c>
      <c r="AD20" s="32">
        <f>VLOOKUP($B20&amp;"3",Data!$A:$AB,28, FALSE)</f>
        <v>9</v>
      </c>
      <c r="AE20" s="32">
        <f>VLOOKUP($B20&amp;"4",Data!$A:$AB,28, FALSE)</f>
        <v>10</v>
      </c>
      <c r="AF20" s="32">
        <f t="shared" si="52"/>
        <v>257.75</v>
      </c>
      <c r="AG20" s="32">
        <f t="shared" si="53"/>
        <v>85.875</v>
      </c>
      <c r="AH20" s="32">
        <f t="shared" si="54"/>
        <v>113.22222222222223</v>
      </c>
      <c r="AI20" s="32">
        <f t="shared" si="55"/>
        <v>190.8</v>
      </c>
      <c r="AJ20" s="71">
        <v>31</v>
      </c>
      <c r="AK20" s="71">
        <v>29</v>
      </c>
      <c r="AL20" s="71">
        <v>28</v>
      </c>
      <c r="AM20" s="71">
        <v>24</v>
      </c>
      <c r="AN20" s="71">
        <v>15</v>
      </c>
      <c r="AO20" s="71">
        <v>10</v>
      </c>
      <c r="AP20" s="71">
        <v>5</v>
      </c>
      <c r="AQ20" s="71">
        <v>3</v>
      </c>
      <c r="AR20" s="12">
        <f>AVERAGE(Data!D106,Data!F103,Data!K105)</f>
        <v>500.33333333333331</v>
      </c>
      <c r="AS20" s="12">
        <f>AVERAGE(Data!H106,Data!G103)</f>
        <v>398</v>
      </c>
      <c r="AT20" s="12">
        <f>AVERAGE(Data!D105:E105,Data!E106,Data!G106,Data!N103)</f>
        <v>253.8</v>
      </c>
      <c r="AU20" s="12">
        <f>AVERAGE(Data!F106,Data!F104:G104,Data!J106,Data!M103)</f>
        <v>141.4</v>
      </c>
      <c r="AV20" s="12">
        <f>AVERAGE(Data!E104,Data!F105:G105,Data!I104:J104,Data!J105,Data!I106,Data!K106:L106,Data!L104:L105,Data!N104:N106,Data!O104:O105)</f>
        <v>23.25</v>
      </c>
      <c r="AW20" s="71">
        <f t="shared" si="56"/>
        <v>3</v>
      </c>
      <c r="AX20" s="71">
        <f t="shared" si="57"/>
        <v>2</v>
      </c>
      <c r="AY20" s="71">
        <f t="shared" si="58"/>
        <v>5</v>
      </c>
      <c r="AZ20" s="71">
        <f t="shared" si="59"/>
        <v>5</v>
      </c>
      <c r="BA20" s="32">
        <f t="shared" si="60"/>
        <v>16</v>
      </c>
      <c r="BB20" s="32">
        <f t="shared" si="61"/>
        <v>1501</v>
      </c>
      <c r="BC20" s="32">
        <f t="shared" si="62"/>
        <v>796</v>
      </c>
      <c r="BD20" s="32">
        <f t="shared" si="63"/>
        <v>1269</v>
      </c>
      <c r="BE20" s="32">
        <f t="shared" si="64"/>
        <v>707</v>
      </c>
      <c r="BF20" s="32">
        <f t="shared" si="65"/>
        <v>372</v>
      </c>
      <c r="BG20" s="32">
        <f t="shared" si="28"/>
        <v>4140.6539935051096</v>
      </c>
      <c r="BH20" s="71">
        <f t="shared" si="66"/>
        <v>4645</v>
      </c>
      <c r="BI20" s="83">
        <f t="shared" si="67"/>
        <v>-504.34600649489039</v>
      </c>
      <c r="BJ20" s="71">
        <f t="shared" si="68"/>
        <v>31</v>
      </c>
      <c r="BK20" s="71">
        <v>0</v>
      </c>
      <c r="BL20" s="32">
        <f>BH20-(BJ20*Timeline!$AG$202)-(BK20*Timeline!$AK$202)</f>
        <v>5206.549090183049</v>
      </c>
      <c r="BM20" s="83">
        <f t="shared" si="69"/>
        <v>561.54909018304897</v>
      </c>
      <c r="BN20" s="32">
        <f t="shared" si="33"/>
        <v>4810.9455521135251</v>
      </c>
      <c r="BO20" s="83">
        <f t="shared" si="70"/>
        <v>165.94555211352508</v>
      </c>
      <c r="BP20" s="32">
        <f t="shared" si="71"/>
        <v>4977</v>
      </c>
      <c r="BQ20" s="83">
        <f t="shared" si="72"/>
        <v>332</v>
      </c>
      <c r="BR20" s="83">
        <f t="shared" si="37"/>
        <v>4992.2251980445853</v>
      </c>
      <c r="BS20" s="83">
        <f t="shared" si="73"/>
        <v>347.22519804458534</v>
      </c>
      <c r="BT20" s="32">
        <f t="shared" si="74"/>
        <v>4774.6471526095147</v>
      </c>
      <c r="BU20" s="83">
        <f t="shared" si="75"/>
        <v>129.64715260951471</v>
      </c>
      <c r="BV20" s="32">
        <f>AVERAGE(Timeline!B209:M209)</f>
        <v>-11.786104782683154</v>
      </c>
      <c r="BW20" s="32">
        <f t="shared" si="41"/>
        <v>4186.1667551084993</v>
      </c>
      <c r="BX20" s="83">
        <f t="shared" si="76"/>
        <v>-458.83324489150073</v>
      </c>
    </row>
    <row r="21" spans="1:76" s="75" customFormat="1" x14ac:dyDescent="0.2">
      <c r="A21" s="122">
        <f t="shared" si="0"/>
        <v>19</v>
      </c>
      <c r="B21" s="144" t="str">
        <f t="shared" si="43"/>
        <v>Guillermo Vilas</v>
      </c>
      <c r="C21" s="75" t="s">
        <v>105</v>
      </c>
      <c r="D21" s="75" t="s">
        <v>106</v>
      </c>
      <c r="E21" s="75" t="s">
        <v>107</v>
      </c>
      <c r="F21" s="144">
        <f>VLOOKUP(B21&amp;"5",Data!A21:C261,3,FALSE)</f>
        <v>4421</v>
      </c>
      <c r="G21" s="75">
        <f t="shared" si="44"/>
        <v>142</v>
      </c>
      <c r="H21" s="75">
        <f t="shared" si="45"/>
        <v>45</v>
      </c>
      <c r="I21" s="45">
        <f t="shared" si="46"/>
        <v>0.75935828877005351</v>
      </c>
      <c r="J21" s="54">
        <f>MAX(Data!D63:Z66)</f>
        <v>545</v>
      </c>
      <c r="K21" s="54">
        <f>MAX(Data!D67:Z67)</f>
        <v>1150</v>
      </c>
      <c r="L21" s="46">
        <f t="shared" si="47"/>
        <v>52.294117647058826</v>
      </c>
      <c r="M21" s="12">
        <f t="shared" si="48"/>
        <v>221.05</v>
      </c>
      <c r="N21" s="12">
        <f t="shared" si="49"/>
        <v>90.224489795918373</v>
      </c>
      <c r="O21" s="12">
        <f t="shared" si="50"/>
        <v>31.133802816901408</v>
      </c>
      <c r="P21" s="32">
        <v>1952</v>
      </c>
      <c r="Q21" s="75">
        <f t="shared" si="51"/>
        <v>20</v>
      </c>
      <c r="R21" s="75">
        <v>1970</v>
      </c>
      <c r="S21" s="75">
        <v>1989</v>
      </c>
      <c r="T21" s="32">
        <f>VLOOKUP($B21&amp;"1",Data!$A:$AB,27, FALSE)</f>
        <v>1182</v>
      </c>
      <c r="U21" s="32">
        <f>VLOOKUP($B21&amp;"2",Data!$A:$AB,27, FALSE)</f>
        <v>2170</v>
      </c>
      <c r="V21" s="32">
        <f>VLOOKUP($B21&amp;"3",Data!$A:$AB,27, FALSE)</f>
        <v>28</v>
      </c>
      <c r="W21" s="32">
        <f>VLOOKUP($B21&amp;"4",Data!$A:$AB,27, FALSE)</f>
        <v>1041</v>
      </c>
      <c r="X21" s="32">
        <f t="shared" si="10"/>
        <v>17</v>
      </c>
      <c r="Y21" s="32">
        <f t="shared" si="11"/>
        <v>7</v>
      </c>
      <c r="Z21" s="32">
        <f t="shared" si="12"/>
        <v>41</v>
      </c>
      <c r="AA21" s="32">
        <f t="shared" si="13"/>
        <v>27</v>
      </c>
      <c r="AB21" s="32">
        <f>VLOOKUP($B21&amp;"1",Data!$A:$AB,28, FALSE)</f>
        <v>5</v>
      </c>
      <c r="AC21" s="32">
        <f>VLOOKUP($B21&amp;"2",Data!$A:$AB,28, FALSE)</f>
        <v>18</v>
      </c>
      <c r="AD21" s="32">
        <f>VLOOKUP($B21&amp;"3",Data!$A:$AB,28, FALSE)</f>
        <v>11</v>
      </c>
      <c r="AE21" s="32">
        <f>VLOOKUP($B21&amp;"4",Data!$A:$AB,28, FALSE)</f>
        <v>15</v>
      </c>
      <c r="AF21" s="32">
        <f t="shared" si="52"/>
        <v>236.4</v>
      </c>
      <c r="AG21" s="32">
        <f t="shared" si="53"/>
        <v>120.55555555555556</v>
      </c>
      <c r="AH21" s="32">
        <f t="shared" si="54"/>
        <v>2.5454545454545454</v>
      </c>
      <c r="AI21" s="32">
        <f t="shared" si="55"/>
        <v>69.400000000000006</v>
      </c>
      <c r="AJ21" s="75">
        <v>49</v>
      </c>
      <c r="AK21" s="75">
        <v>40</v>
      </c>
      <c r="AL21" s="75">
        <v>34</v>
      </c>
      <c r="AM21" s="75">
        <v>25</v>
      </c>
      <c r="AN21" s="75">
        <v>19</v>
      </c>
      <c r="AO21" s="75">
        <v>12</v>
      </c>
      <c r="AP21" s="75">
        <v>8</v>
      </c>
      <c r="AQ21" s="75">
        <v>4</v>
      </c>
      <c r="AR21" s="12">
        <f>AVERAGE(Data!K66,Data!K64,Data!L63:M63)</f>
        <v>445</v>
      </c>
      <c r="AS21" s="12">
        <f>AVERAGE(Data!I64,Data!K63,Data!L64,Data!P64)</f>
        <v>271</v>
      </c>
      <c r="AT21" s="12">
        <f>AVERAGE(Data!I66:J66,Data!P66,Data!N63)</f>
        <v>195.75</v>
      </c>
      <c r="AU21" s="12">
        <f>AVERAGE(Data!I65:J65,Data!J64,Data!M64:N64,Data!Q64,Data!T64)</f>
        <v>143.57142857142858</v>
      </c>
      <c r="AV21" s="12">
        <f>AVERAGE(Data!D65,Data!F64:F66,Data!G66:H66,Data!G64:H64,Data!H65,Data!K65:M65,Data!L66:O66,Data!O63:O65,Data!Q66:T66,Data!Q65,Data!R64:S64,Data!T65,Data!U64:W64)</f>
        <v>-7.7</v>
      </c>
      <c r="AW21" s="75">
        <f t="shared" si="56"/>
        <v>4</v>
      </c>
      <c r="AX21" s="75">
        <f t="shared" si="57"/>
        <v>4</v>
      </c>
      <c r="AY21" s="75">
        <f t="shared" si="58"/>
        <v>4</v>
      </c>
      <c r="AZ21" s="75">
        <f t="shared" si="59"/>
        <v>7</v>
      </c>
      <c r="BA21" s="32">
        <f t="shared" si="60"/>
        <v>30</v>
      </c>
      <c r="BB21" s="32">
        <f t="shared" si="61"/>
        <v>1780</v>
      </c>
      <c r="BC21" s="32">
        <f t="shared" si="62"/>
        <v>1084</v>
      </c>
      <c r="BD21" s="32">
        <f t="shared" si="63"/>
        <v>783</v>
      </c>
      <c r="BE21" s="32">
        <f t="shared" si="64"/>
        <v>1005.0000000000001</v>
      </c>
      <c r="BF21" s="32">
        <f t="shared" si="65"/>
        <v>-231</v>
      </c>
      <c r="BG21" s="32">
        <f t="shared" si="28"/>
        <v>5464.8940021046265</v>
      </c>
      <c r="BH21" s="75">
        <f t="shared" si="66"/>
        <v>4421</v>
      </c>
      <c r="BI21" s="83">
        <f t="shared" si="67"/>
        <v>1043.8940021046265</v>
      </c>
      <c r="BJ21" s="75">
        <f t="shared" si="68"/>
        <v>49</v>
      </c>
      <c r="BK21" s="75">
        <v>0</v>
      </c>
      <c r="BL21" s="32">
        <f>BH21-(BJ21*Timeline!$AG$202)-(BK21*Timeline!$AK$202)</f>
        <v>5308.6098522248194</v>
      </c>
      <c r="BM21" s="83">
        <f t="shared" si="69"/>
        <v>887.60985222481941</v>
      </c>
      <c r="BN21" s="32">
        <f t="shared" si="33"/>
        <v>4913.0063141552955</v>
      </c>
      <c r="BO21" s="83">
        <f t="shared" si="70"/>
        <v>492.00631415529551</v>
      </c>
      <c r="BP21" s="32">
        <f t="shared" si="71"/>
        <v>4448</v>
      </c>
      <c r="BQ21" s="83">
        <f t="shared" si="72"/>
        <v>27</v>
      </c>
      <c r="BR21" s="83">
        <f t="shared" si="37"/>
        <v>4463.2251980445853</v>
      </c>
      <c r="BS21" s="83">
        <f t="shared" si="73"/>
        <v>42.225198044585341</v>
      </c>
      <c r="BT21" s="32">
        <f t="shared" si="74"/>
        <v>5688.656506743996</v>
      </c>
      <c r="BU21" s="83">
        <f t="shared" si="75"/>
        <v>1267.656506743996</v>
      </c>
      <c r="BV21" s="32">
        <f>AVERAGE(Timeline!D209:W209)</f>
        <v>-66.718763512841889</v>
      </c>
      <c r="BW21" s="32">
        <f t="shared" si="41"/>
        <v>5100.1761092429806</v>
      </c>
      <c r="BX21" s="83">
        <f t="shared" si="76"/>
        <v>679.1761092429806</v>
      </c>
    </row>
    <row r="22" spans="1:76" s="79" customFormat="1" x14ac:dyDescent="0.2">
      <c r="A22" s="122">
        <f t="shared" si="0"/>
        <v>20</v>
      </c>
      <c r="B22" s="144" t="str">
        <f t="shared" si="43"/>
        <v>Andy Roddick</v>
      </c>
      <c r="C22" s="79" t="s">
        <v>126</v>
      </c>
      <c r="D22" s="79" t="s">
        <v>192</v>
      </c>
      <c r="E22" s="79" t="s">
        <v>31</v>
      </c>
      <c r="F22" s="144">
        <f>VLOOKUP(B22&amp;"5",Data!A22:C261,3,FALSE)</f>
        <v>4240</v>
      </c>
      <c r="G22" s="79">
        <f t="shared" si="44"/>
        <v>131</v>
      </c>
      <c r="H22" s="79">
        <f t="shared" si="45"/>
        <v>45</v>
      </c>
      <c r="I22" s="45">
        <f t="shared" si="46"/>
        <v>0.74431818181818177</v>
      </c>
      <c r="J22" s="54">
        <f>MAX(Data!D128:Z131)</f>
        <v>530</v>
      </c>
      <c r="K22" s="54">
        <f>MAX(Data!D132:Z132)</f>
        <v>951</v>
      </c>
      <c r="L22" s="46">
        <f t="shared" si="47"/>
        <v>50.340909090909093</v>
      </c>
      <c r="M22" s="12">
        <f t="shared" si="48"/>
        <v>326.15384615384613</v>
      </c>
      <c r="N22" s="12">
        <f t="shared" si="49"/>
        <v>92.173913043478265</v>
      </c>
      <c r="O22" s="12">
        <f t="shared" si="50"/>
        <v>32.36641221374046</v>
      </c>
      <c r="P22" s="32">
        <v>1982</v>
      </c>
      <c r="Q22" s="79">
        <f t="shared" si="51"/>
        <v>13</v>
      </c>
      <c r="R22" s="79">
        <v>2000</v>
      </c>
      <c r="S22" s="79">
        <v>2012</v>
      </c>
      <c r="T22" s="32">
        <f>VLOOKUP($B22&amp;"1",Data!$A:$AB,27, FALSE)</f>
        <v>1342</v>
      </c>
      <c r="U22" s="32">
        <f>VLOOKUP($B22&amp;"2",Data!$A:$AB,27, FALSE)</f>
        <v>-485</v>
      </c>
      <c r="V22" s="32">
        <f>VLOOKUP($B22&amp;"3",Data!$A:$AB,27, FALSE)</f>
        <v>1521</v>
      </c>
      <c r="W22" s="32">
        <f>VLOOKUP($B22&amp;"4",Data!$A:$AB,27, FALSE)</f>
        <v>1862</v>
      </c>
      <c r="X22" s="32">
        <f t="shared" si="10"/>
        <v>14</v>
      </c>
      <c r="Y22" s="32">
        <f t="shared" si="11"/>
        <v>49</v>
      </c>
      <c r="Z22" s="32">
        <f t="shared" si="12"/>
        <v>13</v>
      </c>
      <c r="AA22" s="32">
        <f t="shared" si="13"/>
        <v>13</v>
      </c>
      <c r="AB22" s="32">
        <f>VLOOKUP($B22&amp;"1",Data!$A:$AB,28, FALSE)</f>
        <v>11</v>
      </c>
      <c r="AC22" s="32">
        <f>VLOOKUP($B22&amp;"2",Data!$A:$AB,28, FALSE)</f>
        <v>10</v>
      </c>
      <c r="AD22" s="32">
        <f>VLOOKUP($B22&amp;"3",Data!$A:$AB,28, FALSE)</f>
        <v>12</v>
      </c>
      <c r="AE22" s="32">
        <f>VLOOKUP($B22&amp;"4",Data!$A:$AB,28, FALSE)</f>
        <v>13</v>
      </c>
      <c r="AF22" s="32">
        <f t="shared" si="52"/>
        <v>122</v>
      </c>
      <c r="AG22" s="32">
        <f t="shared" si="53"/>
        <v>-48.5</v>
      </c>
      <c r="AH22" s="32">
        <f t="shared" si="54"/>
        <v>126.75</v>
      </c>
      <c r="AI22" s="32">
        <f t="shared" si="55"/>
        <v>143.23076923076923</v>
      </c>
      <c r="AJ22" s="79">
        <v>46</v>
      </c>
      <c r="AK22" s="79">
        <v>39</v>
      </c>
      <c r="AL22" s="79">
        <v>33</v>
      </c>
      <c r="AM22" s="79">
        <v>24</v>
      </c>
      <c r="AN22" s="79">
        <v>19</v>
      </c>
      <c r="AO22" s="79">
        <v>10</v>
      </c>
      <c r="AP22" s="79">
        <v>5</v>
      </c>
      <c r="AQ22" s="79">
        <v>1</v>
      </c>
      <c r="AR22" s="12">
        <f>AVERAGE(Data!G131)</f>
        <v>530</v>
      </c>
      <c r="AS22" s="12">
        <f>AVERAGE(Data!H130:I130,Data!J131,Data!M130)</f>
        <v>333</v>
      </c>
      <c r="AT22" s="12">
        <f>AVERAGE(Data!G130,Data!G128,Data!I128,Data!K128,Data!M128)</f>
        <v>250</v>
      </c>
      <c r="AU22" s="12">
        <f>AVERAGE(Data!E131:F131,Data!H131,Data!H128,Data!K130:K131,Data!L131,Data!N128,Data!O131)</f>
        <v>174.33333333333334</v>
      </c>
      <c r="AV22" s="12">
        <f>AVERAGE(Data!D131,Data!E129:F130,Data!F128,Data!G129:K129,Data!I131,Data!J130,Data!J128,Data!L128,Data!L130,Data!M129:N129,Data!M131:N131,Data!O128:P128,Data!P129:P131,Data!N130:O130)</f>
        <v>-16.333333333333332</v>
      </c>
      <c r="AW22" s="79">
        <f t="shared" si="56"/>
        <v>1</v>
      </c>
      <c r="AX22" s="79">
        <f t="shared" si="57"/>
        <v>4</v>
      </c>
      <c r="AY22" s="79">
        <f t="shared" si="58"/>
        <v>5</v>
      </c>
      <c r="AZ22" s="79">
        <f t="shared" si="59"/>
        <v>9</v>
      </c>
      <c r="BA22" s="32">
        <f t="shared" si="60"/>
        <v>27</v>
      </c>
      <c r="BB22" s="32">
        <f t="shared" si="61"/>
        <v>530</v>
      </c>
      <c r="BC22" s="32">
        <f t="shared" si="62"/>
        <v>1332</v>
      </c>
      <c r="BD22" s="32">
        <f t="shared" si="63"/>
        <v>1250</v>
      </c>
      <c r="BE22" s="32">
        <f t="shared" si="64"/>
        <v>1569</v>
      </c>
      <c r="BF22" s="32">
        <f t="shared" si="65"/>
        <v>-440.99999999999994</v>
      </c>
      <c r="BG22" s="32">
        <f t="shared" si="28"/>
        <v>4612.5848055661318</v>
      </c>
      <c r="BH22" s="79">
        <f t="shared" si="66"/>
        <v>4240</v>
      </c>
      <c r="BI22" s="83">
        <f t="shared" si="67"/>
        <v>372.58480556613176</v>
      </c>
      <c r="BJ22" s="79">
        <f t="shared" si="68"/>
        <v>2</v>
      </c>
      <c r="BK22" s="79">
        <v>44</v>
      </c>
      <c r="BL22" s="32">
        <f>BH22-(BJ22*Timeline!$AG$202)-(BK22*Timeline!$AK$202)</f>
        <v>4065.932682417058</v>
      </c>
      <c r="BM22" s="83">
        <f t="shared" si="69"/>
        <v>-174.067317582942</v>
      </c>
      <c r="BN22" s="32">
        <f t="shared" si="33"/>
        <v>3670.3291443475346</v>
      </c>
      <c r="BO22" s="83">
        <f t="shared" si="70"/>
        <v>-569.67085565246543</v>
      </c>
      <c r="BP22" s="32">
        <f t="shared" si="71"/>
        <v>4453</v>
      </c>
      <c r="BQ22" s="83">
        <f t="shared" si="72"/>
        <v>213</v>
      </c>
      <c r="BR22" s="83">
        <f t="shared" si="37"/>
        <v>4468.2251980445853</v>
      </c>
      <c r="BS22" s="83">
        <f t="shared" si="73"/>
        <v>228.22519804458534</v>
      </c>
      <c r="BT22" s="32">
        <f t="shared" si="74"/>
        <v>4514.9989303463344</v>
      </c>
      <c r="BU22" s="83">
        <f t="shared" si="75"/>
        <v>274.99893034633442</v>
      </c>
      <c r="BV22" s="32">
        <f>AVERAGE(Timeline!AH209:AT209)</f>
        <v>-22.916577528861225</v>
      </c>
      <c r="BW22" s="32">
        <f t="shared" si="41"/>
        <v>3926.518532845319</v>
      </c>
      <c r="BX22" s="83">
        <f t="shared" si="76"/>
        <v>-313.48146715468101</v>
      </c>
    </row>
    <row r="23" spans="1:76" s="81" customFormat="1" x14ac:dyDescent="0.2">
      <c r="A23" s="122">
        <f t="shared" si="0"/>
        <v>21</v>
      </c>
      <c r="B23" s="144" t="str">
        <f t="shared" si="43"/>
        <v>Jim Courier</v>
      </c>
      <c r="C23" s="81" t="s">
        <v>110</v>
      </c>
      <c r="D23" s="81" t="s">
        <v>111</v>
      </c>
      <c r="E23" s="81" t="s">
        <v>31</v>
      </c>
      <c r="F23" s="144">
        <f>VLOOKUP(B23&amp;"5",Data!A23:C262,3,FALSE)</f>
        <v>4149</v>
      </c>
      <c r="G23" s="81">
        <f t="shared" si="44"/>
        <v>119</v>
      </c>
      <c r="H23" s="81">
        <f t="shared" si="45"/>
        <v>38</v>
      </c>
      <c r="I23" s="45">
        <f t="shared" si="46"/>
        <v>0.7579617834394905</v>
      </c>
      <c r="J23" s="54">
        <f>MAX(Data!D68:Z71)</f>
        <v>486</v>
      </c>
      <c r="K23" s="54">
        <f>MAX(Data!D72:Z72)</f>
        <v>1169</v>
      </c>
      <c r="L23" s="46">
        <f t="shared" si="47"/>
        <v>49.369426751592357</v>
      </c>
      <c r="M23" s="12">
        <f t="shared" si="48"/>
        <v>319.15384615384613</v>
      </c>
      <c r="N23" s="12">
        <f t="shared" si="49"/>
        <v>98.785714285714292</v>
      </c>
      <c r="O23" s="12">
        <f t="shared" si="50"/>
        <v>34.865546218487395</v>
      </c>
      <c r="P23" s="32">
        <v>1970</v>
      </c>
      <c r="Q23" s="81">
        <f t="shared" si="51"/>
        <v>13</v>
      </c>
      <c r="R23" s="81">
        <v>1988</v>
      </c>
      <c r="S23" s="81">
        <v>2000</v>
      </c>
      <c r="T23" s="32">
        <f>VLOOKUP($B23&amp;"1",Data!$A:$AB,27, FALSE)</f>
        <v>1467</v>
      </c>
      <c r="U23" s="32">
        <f>VLOOKUP($B23&amp;"2",Data!$A:$AB,27, FALSE)</f>
        <v>1692</v>
      </c>
      <c r="V23" s="32">
        <f>VLOOKUP($B23&amp;"3",Data!$A:$AB,27, FALSE)</f>
        <v>20</v>
      </c>
      <c r="W23" s="32">
        <f>VLOOKUP($B23&amp;"4",Data!$A:$AB,27, FALSE)</f>
        <v>970</v>
      </c>
      <c r="X23" s="32">
        <f t="shared" si="10"/>
        <v>11</v>
      </c>
      <c r="Y23" s="32">
        <f t="shared" si="11"/>
        <v>10</v>
      </c>
      <c r="Z23" s="32">
        <f t="shared" si="12"/>
        <v>42</v>
      </c>
      <c r="AA23" s="32">
        <f t="shared" si="13"/>
        <v>29</v>
      </c>
      <c r="AB23" s="32">
        <f>VLOOKUP($B23&amp;"1",Data!$A:$AB,28, FALSE)</f>
        <v>10</v>
      </c>
      <c r="AC23" s="32">
        <f>VLOOKUP($B23&amp;"2",Data!$A:$AB,28, FALSE)</f>
        <v>11</v>
      </c>
      <c r="AD23" s="32">
        <f>VLOOKUP($B23&amp;"3",Data!$A:$AB,28, FALSE)</f>
        <v>11</v>
      </c>
      <c r="AE23" s="32">
        <f>VLOOKUP($B23&amp;"4",Data!$A:$AB,28, FALSE)</f>
        <v>10</v>
      </c>
      <c r="AF23" s="32">
        <f t="shared" si="52"/>
        <v>146.69999999999999</v>
      </c>
      <c r="AG23" s="32">
        <f t="shared" si="53"/>
        <v>153.81818181818181</v>
      </c>
      <c r="AH23" s="32">
        <f t="shared" si="54"/>
        <v>1.8181818181818181</v>
      </c>
      <c r="AI23" s="32">
        <f t="shared" si="55"/>
        <v>97</v>
      </c>
      <c r="AJ23" s="81">
        <v>42</v>
      </c>
      <c r="AK23" s="81">
        <v>34</v>
      </c>
      <c r="AL23" s="81">
        <v>26</v>
      </c>
      <c r="AM23" s="81">
        <v>22</v>
      </c>
      <c r="AN23" s="81">
        <v>15</v>
      </c>
      <c r="AO23" s="81">
        <v>11</v>
      </c>
      <c r="AP23" s="81">
        <v>7</v>
      </c>
      <c r="AQ23" s="81">
        <v>4</v>
      </c>
      <c r="AR23" s="12">
        <f>AVERAGE(Data!G69:H69,Data!H68:I68)</f>
        <v>440.75</v>
      </c>
      <c r="AS23" s="12">
        <f>AVERAGE(Data!G71,Data!I69:I70)</f>
        <v>345.33333333333331</v>
      </c>
      <c r="AT23" s="12">
        <f>AVERAGE(Data!J68:J69,Data!H71,Data!K71)</f>
        <v>283</v>
      </c>
      <c r="AU23" s="12">
        <f>AVERAGE(Data!G70,Data!K68:L68,Data!L69)</f>
        <v>124.75</v>
      </c>
      <c r="AV23" s="12">
        <f>AVERAGE(Data!D71:F71,Data!E69:F70,Data!F68:G68,Data!H70,Data!I71:J71,Data!J70:L70,Data!K69,Data!M68:M71,Data!N69:N70,Data!O68:O71,Data!P68)</f>
        <v>-10.407407407407407</v>
      </c>
      <c r="AW23" s="81">
        <f t="shared" si="56"/>
        <v>4</v>
      </c>
      <c r="AX23" s="81">
        <f t="shared" si="57"/>
        <v>3</v>
      </c>
      <c r="AY23" s="81">
        <f t="shared" si="58"/>
        <v>4</v>
      </c>
      <c r="AZ23" s="81">
        <f t="shared" si="59"/>
        <v>4</v>
      </c>
      <c r="BA23" s="32">
        <f t="shared" si="60"/>
        <v>27</v>
      </c>
      <c r="BB23" s="32">
        <f t="shared" si="61"/>
        <v>1763</v>
      </c>
      <c r="BC23" s="32">
        <f t="shared" si="62"/>
        <v>1036</v>
      </c>
      <c r="BD23" s="32">
        <f t="shared" si="63"/>
        <v>1132</v>
      </c>
      <c r="BE23" s="32">
        <f t="shared" si="64"/>
        <v>499</v>
      </c>
      <c r="BF23" s="32">
        <f t="shared" si="65"/>
        <v>-281</v>
      </c>
      <c r="BG23" s="32">
        <f t="shared" si="28"/>
        <v>4631.1455082859102</v>
      </c>
      <c r="BH23" s="81">
        <f t="shared" si="66"/>
        <v>4149</v>
      </c>
      <c r="BI23" s="83">
        <f t="shared" si="67"/>
        <v>482.14550828591018</v>
      </c>
      <c r="BJ23" s="81">
        <f t="shared" si="68"/>
        <v>42</v>
      </c>
      <c r="BK23" s="81">
        <v>0</v>
      </c>
      <c r="BL23" s="32">
        <f>BH23-(BJ23*Timeline!$AG$202)-(BK23*Timeline!$AK$202)</f>
        <v>4909.8084447641304</v>
      </c>
      <c r="BM23" s="83">
        <f t="shared" si="69"/>
        <v>760.8084447641304</v>
      </c>
      <c r="BN23" s="32">
        <f t="shared" si="33"/>
        <v>4514.2049066946065</v>
      </c>
      <c r="BO23" s="83">
        <f t="shared" si="70"/>
        <v>365.20490669460651</v>
      </c>
      <c r="BP23" s="32">
        <f t="shared" si="71"/>
        <v>4554</v>
      </c>
      <c r="BQ23" s="83">
        <f t="shared" si="72"/>
        <v>405</v>
      </c>
      <c r="BR23" s="83">
        <f t="shared" si="37"/>
        <v>4569.2251980445853</v>
      </c>
      <c r="BS23" s="83">
        <f t="shared" si="73"/>
        <v>420.22519804458534</v>
      </c>
      <c r="BT23" s="32">
        <f t="shared" si="74"/>
        <v>5406.2614007604579</v>
      </c>
      <c r="BU23" s="83">
        <f t="shared" si="75"/>
        <v>1257.2614007604579</v>
      </c>
      <c r="BV23" s="32">
        <f>AVERAGE(Timeline!V209:AH209)</f>
        <v>-104.77178339670482</v>
      </c>
      <c r="BW23" s="32">
        <f t="shared" si="41"/>
        <v>4817.7810032594425</v>
      </c>
      <c r="BX23" s="83">
        <f t="shared" si="76"/>
        <v>668.78100325944251</v>
      </c>
    </row>
    <row r="24" spans="1:76" s="81" customFormat="1" x14ac:dyDescent="0.2">
      <c r="A24" s="122">
        <f t="shared" si="0"/>
        <v>22</v>
      </c>
      <c r="B24" s="144" t="str">
        <f t="shared" si="43"/>
        <v>Marin Cilic</v>
      </c>
      <c r="C24" s="149" t="s">
        <v>201</v>
      </c>
      <c r="D24" s="149" t="s">
        <v>200</v>
      </c>
      <c r="E24" s="81" t="s">
        <v>202</v>
      </c>
      <c r="F24" s="144">
        <f>VLOOKUP(B24&amp;"5",Data!A26:C262,3,FALSE)</f>
        <v>3895</v>
      </c>
      <c r="G24" s="81">
        <f t="shared" si="44"/>
        <v>138</v>
      </c>
      <c r="H24" s="81">
        <f t="shared" si="45"/>
        <v>57</v>
      </c>
      <c r="I24" s="45">
        <f t="shared" si="46"/>
        <v>0.70769230769230773</v>
      </c>
      <c r="J24" s="54">
        <f>MAX(Data!D133:Z136)</f>
        <v>503</v>
      </c>
      <c r="K24" s="54">
        <f>MAX(Data!D137:Z137)</f>
        <v>748</v>
      </c>
      <c r="L24" s="46">
        <f t="shared" si="47"/>
        <v>50.794871794871796</v>
      </c>
      <c r="M24" s="12">
        <f t="shared" si="48"/>
        <v>243.4375</v>
      </c>
      <c r="N24" s="12">
        <f t="shared" si="49"/>
        <v>67.15517241379311</v>
      </c>
      <c r="O24" s="12">
        <f t="shared" si="50"/>
        <v>28.224637681159422</v>
      </c>
      <c r="P24" s="32">
        <v>1988</v>
      </c>
      <c r="Q24" s="81">
        <f t="shared" si="51"/>
        <v>16</v>
      </c>
      <c r="R24" s="81">
        <v>2007</v>
      </c>
      <c r="S24" s="81">
        <v>2022</v>
      </c>
      <c r="T24" s="32">
        <f>VLOOKUP($B24&amp;"1",Data!$A:$AB,27, FALSE)</f>
        <v>1311</v>
      </c>
      <c r="U24" s="32">
        <f>VLOOKUP($B24&amp;"2",Data!$A:$AB,27, FALSE)</f>
        <v>512</v>
      </c>
      <c r="V24" s="32">
        <f>VLOOKUP($B24&amp;"3",Data!$A:$AB,27, FALSE)</f>
        <v>713</v>
      </c>
      <c r="W24" s="32">
        <f>VLOOKUP($B24&amp;"4",Data!$A:$AB,27, FALSE)</f>
        <v>1359</v>
      </c>
      <c r="X24" s="32">
        <f t="shared" si="10"/>
        <v>15</v>
      </c>
      <c r="Y24" s="32">
        <f t="shared" si="11"/>
        <v>39</v>
      </c>
      <c r="Z24" s="32">
        <f t="shared" si="12"/>
        <v>27</v>
      </c>
      <c r="AA24" s="32">
        <f t="shared" si="13"/>
        <v>19</v>
      </c>
      <c r="AB24" s="32">
        <f>VLOOKUP($B24&amp;"1",Data!$A:$AB,28, FALSE)</f>
        <v>15</v>
      </c>
      <c r="AC24" s="32">
        <f>VLOOKUP($B24&amp;"2",Data!$A:$AB,28, FALSE)</f>
        <v>16</v>
      </c>
      <c r="AD24" s="32">
        <f>VLOOKUP($B24&amp;"3",Data!$A:$AB,28, FALSE)</f>
        <v>14</v>
      </c>
      <c r="AE24" s="32">
        <f>VLOOKUP($B24&amp;"4",Data!$A:$AB,28, FALSE)</f>
        <v>14</v>
      </c>
      <c r="AF24" s="32">
        <f t="shared" si="52"/>
        <v>87.4</v>
      </c>
      <c r="AG24" s="32">
        <f t="shared" si="53"/>
        <v>32</v>
      </c>
      <c r="AH24" s="32">
        <f t="shared" si="54"/>
        <v>50.928571428571431</v>
      </c>
      <c r="AI24" s="32">
        <f t="shared" si="55"/>
        <v>97.071428571428569</v>
      </c>
      <c r="AJ24" s="81">
        <v>58</v>
      </c>
      <c r="AK24" s="81">
        <v>48</v>
      </c>
      <c r="AL24" s="81">
        <v>39</v>
      </c>
      <c r="AM24" s="81">
        <v>27</v>
      </c>
      <c r="AN24" s="81">
        <v>14</v>
      </c>
      <c r="AO24" s="81">
        <v>6</v>
      </c>
      <c r="AP24" s="81">
        <v>3</v>
      </c>
      <c r="AQ24" s="81">
        <v>1</v>
      </c>
      <c r="AR24" s="12">
        <f>AVERAGE(Data!K136)</f>
        <v>503</v>
      </c>
      <c r="AS24" s="12">
        <f>AVERAGE(Data!N135,Data!O133)</f>
        <v>369</v>
      </c>
      <c r="AT24" s="12">
        <f>AVERAGE(Data!L136,Data!G133,Data!S134)</f>
        <v>263.66666666666669</v>
      </c>
      <c r="AU24" s="12">
        <f>AVERAGE(Data!I136,Data!F136,Data!K135:M135,Data!N134:O134,Data!P140)</f>
        <v>140.25</v>
      </c>
      <c r="AV24" s="12">
        <f>AVERAGE(Data!D133:F135,Data!E136,Data!G134:H136,Data!H133,Data!I134:J135,Data!J133:K133,Data!K134:M134,Data!M133:N133,Data!M136:N136,Data!O135,Data!P133,Data!P134,Data!Q136,Data!Q133,Data!R133:R136,Data!S133,Data!S136)</f>
        <v>18.682926829268293</v>
      </c>
      <c r="AW24" s="81">
        <f t="shared" si="56"/>
        <v>1</v>
      </c>
      <c r="AX24" s="81">
        <f t="shared" si="57"/>
        <v>2</v>
      </c>
      <c r="AY24" s="81">
        <f t="shared" si="58"/>
        <v>3</v>
      </c>
      <c r="AZ24" s="81">
        <f t="shared" si="59"/>
        <v>8</v>
      </c>
      <c r="BA24" s="32">
        <f t="shared" si="60"/>
        <v>44</v>
      </c>
      <c r="BB24" s="32">
        <f t="shared" si="61"/>
        <v>503</v>
      </c>
      <c r="BC24" s="32">
        <f t="shared" si="62"/>
        <v>738</v>
      </c>
      <c r="BD24" s="32">
        <f t="shared" si="63"/>
        <v>791</v>
      </c>
      <c r="BE24" s="32">
        <f t="shared" si="64"/>
        <v>1122</v>
      </c>
      <c r="BF24" s="32">
        <f t="shared" si="65"/>
        <v>822.04878048780495</v>
      </c>
      <c r="BG24" s="32">
        <f t="shared" si="28"/>
        <v>3398.3016431670403</v>
      </c>
      <c r="BH24" s="81">
        <f t="shared" si="66"/>
        <v>3895</v>
      </c>
      <c r="BI24" s="83">
        <f t="shared" si="67"/>
        <v>-496.69835683295969</v>
      </c>
      <c r="BJ24" s="81">
        <f t="shared" si="68"/>
        <v>12</v>
      </c>
      <c r="BK24" s="81">
        <v>46</v>
      </c>
      <c r="BL24" s="32">
        <f>BH24-(BJ24*Timeline!$AG$202)-(BK24*Timeline!$AK$202)</f>
        <v>3892.5186278933525</v>
      </c>
      <c r="BM24" s="83">
        <f t="shared" si="69"/>
        <v>-2.4813721066475409</v>
      </c>
      <c r="BN24" s="32">
        <f t="shared" si="33"/>
        <v>3496.915089823829</v>
      </c>
      <c r="BO24" s="83">
        <f t="shared" si="70"/>
        <v>-398.08491017617098</v>
      </c>
      <c r="BP24" s="32">
        <f t="shared" si="71"/>
        <v>3490</v>
      </c>
      <c r="BQ24" s="83">
        <f t="shared" si="72"/>
        <v>-405</v>
      </c>
      <c r="BR24" s="83">
        <f t="shared" si="37"/>
        <v>3505.2251980445858</v>
      </c>
      <c r="BS24" s="83">
        <f t="shared" si="73"/>
        <v>-389.7748019554142</v>
      </c>
      <c r="BT24" s="32">
        <f t="shared" si="74"/>
        <v>3029.4180598354851</v>
      </c>
      <c r="BU24" s="83">
        <f t="shared" si="75"/>
        <v>-865.58194016451489</v>
      </c>
      <c r="BV24" s="32">
        <f>AVERAGE(Timeline!AO209:AZ209)</f>
        <v>57.705462677634308</v>
      </c>
      <c r="BW24" s="32">
        <f t="shared" si="41"/>
        <v>2440.9376623344697</v>
      </c>
      <c r="BX24" s="83">
        <f t="shared" si="76"/>
        <v>-1454.0623376655303</v>
      </c>
    </row>
    <row r="25" spans="1:76" s="81" customFormat="1" x14ac:dyDescent="0.2">
      <c r="A25" s="122">
        <f t="shared" si="0"/>
        <v>23</v>
      </c>
      <c r="B25" s="144" t="str">
        <f t="shared" si="43"/>
        <v>Juan Martin Del Potro</v>
      </c>
      <c r="C25" s="81" t="s">
        <v>204</v>
      </c>
      <c r="D25" s="81" t="s">
        <v>205</v>
      </c>
      <c r="E25" s="81" t="s">
        <v>107</v>
      </c>
      <c r="F25" s="144">
        <f>VLOOKUP(B25&amp;"5",Data!A24:C262,3,FALSE)</f>
        <v>3817</v>
      </c>
      <c r="G25" s="81">
        <f t="shared" si="44"/>
        <v>97</v>
      </c>
      <c r="H25" s="81">
        <f t="shared" si="45"/>
        <v>36</v>
      </c>
      <c r="I25" s="45">
        <f t="shared" si="46"/>
        <v>0.72932330827067671</v>
      </c>
      <c r="J25" s="54">
        <f>MAX(Data!D138:Z141)</f>
        <v>565</v>
      </c>
      <c r="K25" s="54">
        <f>MAX(Data!D142:Z142)</f>
        <v>1036</v>
      </c>
      <c r="L25" s="46">
        <f t="shared" si="47"/>
        <v>44.233082706766915</v>
      </c>
      <c r="M25" s="12">
        <f t="shared" si="48"/>
        <v>272.64285714285717</v>
      </c>
      <c r="N25" s="12">
        <f t="shared" si="49"/>
        <v>103.16216216216216</v>
      </c>
      <c r="O25" s="12">
        <f t="shared" si="50"/>
        <v>39.350515463917525</v>
      </c>
      <c r="P25" s="32">
        <v>1988</v>
      </c>
      <c r="Q25" s="81">
        <f t="shared" si="51"/>
        <v>14</v>
      </c>
      <c r="R25" s="81">
        <v>2006</v>
      </c>
      <c r="S25" s="81">
        <v>2019</v>
      </c>
      <c r="T25" s="32">
        <f>VLOOKUP($B25&amp;"1",Data!$A:$AB,27, FALSE)</f>
        <v>294</v>
      </c>
      <c r="U25" s="32">
        <f>VLOOKUP($B25&amp;"2",Data!$A:$AB,27, FALSE)</f>
        <v>961</v>
      </c>
      <c r="V25" s="32">
        <f>VLOOKUP($B25&amp;"3",Data!$A:$AB,27, FALSE)</f>
        <v>727</v>
      </c>
      <c r="W25" s="32">
        <f>VLOOKUP($B25&amp;"4",Data!$A:$AB,27, FALSE)</f>
        <v>1835</v>
      </c>
      <c r="X25" s="32">
        <f t="shared" si="10"/>
        <v>33</v>
      </c>
      <c r="Y25" s="32">
        <f t="shared" si="11"/>
        <v>21</v>
      </c>
      <c r="Z25" s="32">
        <f t="shared" si="12"/>
        <v>26</v>
      </c>
      <c r="AA25" s="32">
        <f t="shared" si="13"/>
        <v>14</v>
      </c>
      <c r="AB25" s="32">
        <f>VLOOKUP($B25&amp;"1",Data!$A:$AB,28, FALSE)</f>
        <v>9</v>
      </c>
      <c r="AC25" s="32">
        <f>VLOOKUP($B25&amp;"2",Data!$A:$AB,28, FALSE)</f>
        <v>9</v>
      </c>
      <c r="AD25" s="32">
        <f>VLOOKUP($B25&amp;"3",Data!$A:$AB,28, FALSE)</f>
        <v>9</v>
      </c>
      <c r="AE25" s="32">
        <f>VLOOKUP($B25&amp;"4",Data!$A:$AB,28, FALSE)</f>
        <v>10</v>
      </c>
      <c r="AF25" s="32">
        <f t="shared" si="52"/>
        <v>32.666666666666664</v>
      </c>
      <c r="AG25" s="32">
        <f t="shared" si="53"/>
        <v>106.77777777777777</v>
      </c>
      <c r="AH25" s="32">
        <f t="shared" si="54"/>
        <v>80.777777777777771</v>
      </c>
      <c r="AI25" s="32">
        <f t="shared" si="55"/>
        <v>183.5</v>
      </c>
      <c r="AJ25" s="81">
        <v>37</v>
      </c>
      <c r="AK25" s="81">
        <v>34</v>
      </c>
      <c r="AL25" s="81">
        <v>24</v>
      </c>
      <c r="AM25" s="81">
        <v>17</v>
      </c>
      <c r="AN25" s="81">
        <v>13</v>
      </c>
      <c r="AO25" s="81">
        <v>6</v>
      </c>
      <c r="AP25" s="81">
        <v>2</v>
      </c>
      <c r="AQ25" s="81">
        <v>1</v>
      </c>
      <c r="AR25" s="12">
        <f>AVERAGE(Data!G141)</f>
        <v>565</v>
      </c>
      <c r="AS25" s="12">
        <f>AVERAGE(Data!P141)</f>
        <v>390</v>
      </c>
      <c r="AT25" s="12">
        <f>AVERAGE(Data!G139,Data!K140,Data!O141,Data!P139)</f>
        <v>313.75</v>
      </c>
      <c r="AU25" s="12">
        <f>AVERAGE(Data!F141,Data!G138,Data!J138:J139,Data!J141,Data!N141,Data!P140)</f>
        <v>179.28571428571428</v>
      </c>
      <c r="AV25" s="12">
        <f>AVERAGE(Data!D141:E141,Data!D139,Data!E138:F140,Data!G140,Data!H138,Data!I138:I141,Data!J140,Data!K141,Data!K138:L138,Data!N140:O140,Data!O139,Data!P138,Data!Q139)</f>
        <v>14.666666666666666</v>
      </c>
      <c r="AW25" s="81">
        <f t="shared" si="56"/>
        <v>1</v>
      </c>
      <c r="AX25" s="81">
        <f t="shared" si="57"/>
        <v>1</v>
      </c>
      <c r="AY25" s="81">
        <f t="shared" si="58"/>
        <v>4</v>
      </c>
      <c r="AZ25" s="81">
        <f t="shared" si="59"/>
        <v>7</v>
      </c>
      <c r="BA25" s="32">
        <f t="shared" si="60"/>
        <v>24</v>
      </c>
      <c r="BB25" s="32">
        <f t="shared" si="61"/>
        <v>565</v>
      </c>
      <c r="BC25" s="32">
        <f t="shared" si="62"/>
        <v>390</v>
      </c>
      <c r="BD25" s="32">
        <f t="shared" si="63"/>
        <v>1255</v>
      </c>
      <c r="BE25" s="32">
        <f t="shared" si="64"/>
        <v>1255</v>
      </c>
      <c r="BF25" s="32">
        <f t="shared" si="65"/>
        <v>352</v>
      </c>
      <c r="BG25" s="32">
        <f t="shared" si="28"/>
        <v>2998.1101651961262</v>
      </c>
      <c r="BH25" s="81">
        <f t="shared" si="66"/>
        <v>3817</v>
      </c>
      <c r="BI25" s="83">
        <f t="shared" si="67"/>
        <v>-818.88983480387378</v>
      </c>
      <c r="BJ25" s="81">
        <f t="shared" si="68"/>
        <v>0</v>
      </c>
      <c r="BK25" s="81">
        <v>37</v>
      </c>
      <c r="BL25" s="32">
        <f>BH25-(BJ25*Timeline!$AG$202)-(BK25*Timeline!$AK$202)</f>
        <v>3640.1599369932692</v>
      </c>
      <c r="BM25" s="83">
        <f t="shared" si="69"/>
        <v>-176.84006300673082</v>
      </c>
      <c r="BN25" s="32">
        <f t="shared" si="33"/>
        <v>3244.5563989237457</v>
      </c>
      <c r="BO25" s="83">
        <f t="shared" si="70"/>
        <v>-572.44360107625425</v>
      </c>
      <c r="BP25" s="32">
        <f t="shared" si="71"/>
        <v>3317</v>
      </c>
      <c r="BQ25" s="83">
        <f t="shared" si="72"/>
        <v>-500</v>
      </c>
      <c r="BR25" s="83">
        <f t="shared" si="37"/>
        <v>3332.2251980445858</v>
      </c>
      <c r="BS25" s="83">
        <f t="shared" si="73"/>
        <v>-484.7748019554142</v>
      </c>
      <c r="BT25" s="32">
        <f t="shared" si="74"/>
        <v>3359.3028782567526</v>
      </c>
      <c r="BU25" s="83">
        <f t="shared" si="75"/>
        <v>-457.69712174324741</v>
      </c>
      <c r="BV25" s="32">
        <f>AVERAGE(Timeline!AN209:AZ209)</f>
        <v>35.207470903326737</v>
      </c>
      <c r="BW25" s="32">
        <f t="shared" si="41"/>
        <v>2770.8224807557372</v>
      </c>
      <c r="BX25" s="83">
        <f t="shared" si="76"/>
        <v>-1046.1775192442628</v>
      </c>
    </row>
    <row r="26" spans="1:76" s="85" customFormat="1" x14ac:dyDescent="0.2">
      <c r="A26" s="122">
        <f t="shared" si="0"/>
        <v>24</v>
      </c>
      <c r="B26" s="144" t="str">
        <f t="shared" si="43"/>
        <v>Rod Laver</v>
      </c>
      <c r="C26" s="85" t="s">
        <v>146</v>
      </c>
      <c r="D26" s="85" t="s">
        <v>145</v>
      </c>
      <c r="E26" s="85" t="s">
        <v>147</v>
      </c>
      <c r="F26" s="144">
        <f>VLOOKUP(B26&amp;"5",Data!A25:C262,3,FALSE)</f>
        <v>3706</v>
      </c>
      <c r="G26" s="85">
        <f t="shared" si="44"/>
        <v>65</v>
      </c>
      <c r="H26" s="85">
        <f t="shared" si="45"/>
        <v>10</v>
      </c>
      <c r="I26" s="45">
        <f t="shared" si="46"/>
        <v>0.8666666666666667</v>
      </c>
      <c r="J26" s="54">
        <f>MAX(Data!D88:Z91)</f>
        <v>523</v>
      </c>
      <c r="K26" s="54">
        <f>MAX(Data!D92:Z92)</f>
        <v>2026</v>
      </c>
      <c r="L26" s="46">
        <f t="shared" si="47"/>
        <v>37.25333333333333</v>
      </c>
      <c r="M26" s="12">
        <f t="shared" si="48"/>
        <v>370.6</v>
      </c>
      <c r="N26" s="12">
        <f t="shared" si="49"/>
        <v>247.06666666666666</v>
      </c>
      <c r="O26" s="12">
        <f t="shared" si="50"/>
        <v>57.015384615384619</v>
      </c>
      <c r="P26" s="32">
        <v>1938</v>
      </c>
      <c r="Q26" s="85">
        <f t="shared" si="51"/>
        <v>10</v>
      </c>
      <c r="R26" s="85">
        <v>1968</v>
      </c>
      <c r="S26" s="85">
        <v>1977</v>
      </c>
      <c r="T26" s="32">
        <f>VLOOKUP($B26&amp;"1",Data!$A:$AB,27, FALSE)</f>
        <v>550</v>
      </c>
      <c r="U26" s="32">
        <f>VLOOKUP($B26&amp;"2",Data!$A:$AB,27, FALSE)</f>
        <v>875</v>
      </c>
      <c r="V26" s="32">
        <f>VLOOKUP($B26&amp;"3",Data!$A:$AB,27, FALSE)</f>
        <v>1282</v>
      </c>
      <c r="W26" s="32">
        <f>VLOOKUP($B26&amp;"4",Data!$A:$AB,27, FALSE)</f>
        <v>999</v>
      </c>
      <c r="X26" s="32">
        <f t="shared" si="10"/>
        <v>27</v>
      </c>
      <c r="Y26" s="32">
        <f t="shared" si="11"/>
        <v>24</v>
      </c>
      <c r="Z26" s="32">
        <f t="shared" si="12"/>
        <v>17</v>
      </c>
      <c r="AA26" s="32">
        <f t="shared" si="13"/>
        <v>28</v>
      </c>
      <c r="AB26" s="32">
        <f>VLOOKUP($B26&amp;"1",Data!$A:$AB,28, FALSE)</f>
        <v>2</v>
      </c>
      <c r="AC26" s="32">
        <f>VLOOKUP($B26&amp;"2",Data!$A:$AB,28, FALSE)</f>
        <v>2</v>
      </c>
      <c r="AD26" s="32">
        <f>VLOOKUP($B26&amp;"3",Data!$A:$AB,28, FALSE)</f>
        <v>5</v>
      </c>
      <c r="AE26" s="32">
        <f>VLOOKUP($B26&amp;"4",Data!$A:$AB,28, FALSE)</f>
        <v>6</v>
      </c>
      <c r="AF26" s="32">
        <f t="shared" si="52"/>
        <v>275</v>
      </c>
      <c r="AG26" s="32">
        <f t="shared" si="53"/>
        <v>437.5</v>
      </c>
      <c r="AH26" s="32">
        <f t="shared" si="54"/>
        <v>256.39999999999998</v>
      </c>
      <c r="AI26" s="32">
        <f t="shared" si="55"/>
        <v>166.5</v>
      </c>
      <c r="AJ26" s="85">
        <v>15</v>
      </c>
      <c r="AK26" s="85">
        <v>15</v>
      </c>
      <c r="AL26" s="85">
        <v>14</v>
      </c>
      <c r="AM26" s="85">
        <v>12</v>
      </c>
      <c r="AN26" s="85">
        <v>7</v>
      </c>
      <c r="AO26" s="85">
        <v>6</v>
      </c>
      <c r="AP26" s="85">
        <v>6</v>
      </c>
      <c r="AQ26" s="85">
        <v>5</v>
      </c>
      <c r="AR26" s="12">
        <f>AVERAGE(Data!D90,Data!E88:E91)</f>
        <v>505.2</v>
      </c>
      <c r="AS26" s="12">
        <f>AVERAGE(Data!D89)</f>
        <v>352</v>
      </c>
      <c r="AT26" s="12"/>
      <c r="AU26" s="12">
        <f>AVERAGE(Data!G90)</f>
        <v>181</v>
      </c>
      <c r="AV26" s="12">
        <f>AVERAGE(Data!D91,Data!F90:F91,Data!G88,Data!H91:I91,Data!K91,Data!M90)</f>
        <v>80.875</v>
      </c>
      <c r="AW26" s="85">
        <f t="shared" si="56"/>
        <v>5</v>
      </c>
      <c r="AX26" s="85">
        <f t="shared" si="57"/>
        <v>1</v>
      </c>
      <c r="AY26" s="85">
        <f t="shared" si="58"/>
        <v>0</v>
      </c>
      <c r="AZ26" s="85">
        <f t="shared" si="59"/>
        <v>1</v>
      </c>
      <c r="BA26" s="32">
        <f t="shared" si="60"/>
        <v>8</v>
      </c>
      <c r="BB26" s="32">
        <f t="shared" si="61"/>
        <v>2526</v>
      </c>
      <c r="BC26" s="32">
        <f t="shared" si="62"/>
        <v>352</v>
      </c>
      <c r="BD26" s="32">
        <f t="shared" si="63"/>
        <v>0</v>
      </c>
      <c r="BE26" s="32">
        <f t="shared" si="64"/>
        <v>181</v>
      </c>
      <c r="BF26" s="32">
        <f t="shared" si="65"/>
        <v>647</v>
      </c>
      <c r="BG26" s="32">
        <f t="shared" si="28"/>
        <v>2855.0164532431077</v>
      </c>
      <c r="BH26" s="85">
        <f t="shared" si="66"/>
        <v>3706</v>
      </c>
      <c r="BI26" s="83">
        <f t="shared" si="67"/>
        <v>-850.98354675689234</v>
      </c>
      <c r="BJ26" s="85">
        <f t="shared" si="68"/>
        <v>15</v>
      </c>
      <c r="BK26" s="85">
        <v>0</v>
      </c>
      <c r="BL26" s="32">
        <f>BH26-(BJ26*Timeline!$AG$202)-(BK26*Timeline!$AK$202)</f>
        <v>3977.7173017014752</v>
      </c>
      <c r="BM26" s="83">
        <f t="shared" si="69"/>
        <v>271.71730170147521</v>
      </c>
      <c r="BN26" s="32">
        <f t="shared" si="33"/>
        <v>3582.1137636319518</v>
      </c>
      <c r="BO26" s="83">
        <f t="shared" si="70"/>
        <v>-123.88623636804823</v>
      </c>
      <c r="BP26" s="32">
        <f t="shared" si="71"/>
        <v>3499</v>
      </c>
      <c r="BQ26" s="83">
        <f t="shared" si="72"/>
        <v>-207</v>
      </c>
      <c r="BR26" s="83">
        <f t="shared" si="37"/>
        <v>3514.2251980445858</v>
      </c>
      <c r="BS26" s="83">
        <f t="shared" si="73"/>
        <v>-191.7748019554142</v>
      </c>
      <c r="BT26" s="32">
        <f t="shared" si="74"/>
        <v>3745.8497644727199</v>
      </c>
      <c r="BU26" s="83">
        <f t="shared" si="75"/>
        <v>39.849764472719926</v>
      </c>
      <c r="BV26" s="32">
        <f>AVERAGE(Timeline!B209:K209)</f>
        <v>-4.4277516080799817</v>
      </c>
      <c r="BW26" s="32">
        <f t="shared" si="41"/>
        <v>3157.369366971704</v>
      </c>
      <c r="BX26" s="83">
        <f t="shared" si="76"/>
        <v>-548.63063302829596</v>
      </c>
    </row>
    <row r="27" spans="1:76" s="87" customFormat="1" x14ac:dyDescent="0.2">
      <c r="A27" s="122">
        <f t="shared" si="0"/>
        <v>25</v>
      </c>
      <c r="B27" s="144" t="str">
        <f t="shared" si="43"/>
        <v>Stan Smith</v>
      </c>
      <c r="C27" s="87" t="s">
        <v>141</v>
      </c>
      <c r="D27" s="87" t="s">
        <v>191</v>
      </c>
      <c r="E27" s="87" t="s">
        <v>31</v>
      </c>
      <c r="F27" s="144">
        <f>VLOOKUP(B27&amp;"5",Data!A27:C262,3,FALSE)</f>
        <v>3002</v>
      </c>
      <c r="G27" s="87">
        <f t="shared" si="44"/>
        <v>105</v>
      </c>
      <c r="H27" s="87">
        <f t="shared" si="45"/>
        <v>41</v>
      </c>
      <c r="I27" s="45">
        <f t="shared" si="46"/>
        <v>0.71917808219178081</v>
      </c>
      <c r="J27" s="54">
        <f>MAX(Data!D123:Z126)</f>
        <v>484</v>
      </c>
      <c r="K27" s="54">
        <f>MAX(Data!D127:Z127)</f>
        <v>1005</v>
      </c>
      <c r="L27" s="46">
        <f t="shared" si="47"/>
        <v>51.356164383561641</v>
      </c>
      <c r="M27" s="12">
        <f t="shared" si="48"/>
        <v>187.625</v>
      </c>
      <c r="N27" s="12">
        <f t="shared" si="49"/>
        <v>69.813953488372093</v>
      </c>
      <c r="O27" s="12">
        <f t="shared" si="50"/>
        <v>28.590476190476192</v>
      </c>
      <c r="P27" s="32">
        <v>1946</v>
      </c>
      <c r="Q27" s="87">
        <f t="shared" si="51"/>
        <v>16</v>
      </c>
      <c r="R27" s="87">
        <v>1968</v>
      </c>
      <c r="S27" s="87">
        <v>1983</v>
      </c>
      <c r="T27" s="32">
        <f>VLOOKUP($B27&amp;"1",Data!$A:$AB,27, FALSE)</f>
        <v>14</v>
      </c>
      <c r="U27" s="32">
        <f>VLOOKUP($B27&amp;"2",Data!$A:$AB,27, FALSE)</f>
        <v>567</v>
      </c>
      <c r="V27" s="32">
        <f>VLOOKUP($B27&amp;"3",Data!$A:$AB,27, FALSE)</f>
        <v>1334</v>
      </c>
      <c r="W27" s="32">
        <f>VLOOKUP($B27&amp;"4",Data!$A:$AB,27, FALSE)</f>
        <v>1087</v>
      </c>
      <c r="X27" s="32">
        <f t="shared" si="10"/>
        <v>42</v>
      </c>
      <c r="Y27" s="32">
        <f t="shared" si="11"/>
        <v>38</v>
      </c>
      <c r="Z27" s="32">
        <f t="shared" si="12"/>
        <v>16</v>
      </c>
      <c r="AA27" s="32">
        <f t="shared" si="13"/>
        <v>25</v>
      </c>
      <c r="AB27" s="32">
        <f>VLOOKUP($B27&amp;"1",Data!$A:$AB,28, FALSE)</f>
        <v>3</v>
      </c>
      <c r="AC27" s="32">
        <f>VLOOKUP($B27&amp;"2",Data!$A:$AB,28, FALSE)</f>
        <v>9</v>
      </c>
      <c r="AD27" s="32">
        <f>VLOOKUP($B27&amp;"3",Data!$A:$AB,28, FALSE)</f>
        <v>15</v>
      </c>
      <c r="AE27" s="32">
        <f>VLOOKUP($B27&amp;"4",Data!$A:$AB,28, FALSE)</f>
        <v>16</v>
      </c>
      <c r="AF27" s="32">
        <f t="shared" si="52"/>
        <v>4.666666666666667</v>
      </c>
      <c r="AG27" s="32">
        <f t="shared" si="53"/>
        <v>63</v>
      </c>
      <c r="AH27" s="32">
        <f t="shared" si="54"/>
        <v>88.933333333333337</v>
      </c>
      <c r="AI27" s="32">
        <f t="shared" si="55"/>
        <v>67.9375</v>
      </c>
      <c r="AJ27" s="87">
        <v>43</v>
      </c>
      <c r="AK27" s="87">
        <v>36</v>
      </c>
      <c r="AL27" s="87">
        <v>29</v>
      </c>
      <c r="AM27" s="87">
        <v>20</v>
      </c>
      <c r="AN27" s="87">
        <v>10</v>
      </c>
      <c r="AO27" s="87">
        <v>5</v>
      </c>
      <c r="AP27" s="87">
        <v>3</v>
      </c>
      <c r="AQ27" s="87">
        <v>2</v>
      </c>
      <c r="AR27" s="12">
        <f>AVERAGE(Data!G126,Data!H125)</f>
        <v>469</v>
      </c>
      <c r="AS27" s="12">
        <f>AVERAGE(Data!G125)</f>
        <v>346</v>
      </c>
      <c r="AT27" s="12">
        <f>AVERAGE(Data!I126,Data!J125)</f>
        <v>277</v>
      </c>
      <c r="AU27" s="12">
        <f>AVERAGE(Data!F126,Data!G124:H124,Data!H126,Data!J126)</f>
        <v>178.2</v>
      </c>
      <c r="AV27" s="12">
        <f>AVERAGE(Data!D125:E126,Data!F125,Data!E124,Data!F123,Data!I124:K124,Data!L123:M123,Data!M124:O124,Data!K125:S126)</f>
        <v>8.2727272727272734</v>
      </c>
      <c r="AW27" s="87">
        <f t="shared" si="56"/>
        <v>2</v>
      </c>
      <c r="AX27" s="87">
        <f t="shared" si="57"/>
        <v>1</v>
      </c>
      <c r="AY27" s="87">
        <f t="shared" si="58"/>
        <v>2</v>
      </c>
      <c r="AZ27" s="87">
        <f t="shared" si="59"/>
        <v>5</v>
      </c>
      <c r="BA27" s="32">
        <f t="shared" si="60"/>
        <v>33</v>
      </c>
      <c r="BB27" s="32">
        <f t="shared" si="61"/>
        <v>938</v>
      </c>
      <c r="BC27" s="32">
        <f t="shared" si="62"/>
        <v>346</v>
      </c>
      <c r="BD27" s="32">
        <f t="shared" si="63"/>
        <v>554</v>
      </c>
      <c r="BE27" s="32">
        <f t="shared" si="64"/>
        <v>891</v>
      </c>
      <c r="BF27" s="32">
        <f t="shared" si="65"/>
        <v>273</v>
      </c>
      <c r="BG27" s="32">
        <f t="shared" si="28"/>
        <v>2734.4760207506283</v>
      </c>
      <c r="BH27" s="87">
        <f t="shared" si="66"/>
        <v>3002</v>
      </c>
      <c r="BI27" s="83">
        <f t="shared" si="67"/>
        <v>-267.52397924937168</v>
      </c>
      <c r="BJ27" s="87">
        <f t="shared" si="68"/>
        <v>43</v>
      </c>
      <c r="BK27" s="87">
        <v>0</v>
      </c>
      <c r="BL27" s="32">
        <f>BH27-(BJ27*Timeline!$AG$202)-(BK27*Timeline!$AK$202)</f>
        <v>3780.922931544229</v>
      </c>
      <c r="BM27" s="83">
        <f t="shared" si="69"/>
        <v>778.92293154422896</v>
      </c>
      <c r="BN27" s="32">
        <f t="shared" si="33"/>
        <v>3385.3193934747055</v>
      </c>
      <c r="BO27" s="83">
        <f t="shared" si="70"/>
        <v>383.31939347470552</v>
      </c>
      <c r="BP27" s="32">
        <f t="shared" si="71"/>
        <v>3025</v>
      </c>
      <c r="BQ27" s="83">
        <f t="shared" si="72"/>
        <v>23</v>
      </c>
      <c r="BR27" s="83">
        <f t="shared" si="37"/>
        <v>3040.2251980445858</v>
      </c>
      <c r="BS27" s="83">
        <f t="shared" si="73"/>
        <v>38.225198044585795</v>
      </c>
      <c r="BT27" s="32">
        <f t="shared" si="74"/>
        <v>3487.6825687640567</v>
      </c>
      <c r="BU27" s="83">
        <f t="shared" si="75"/>
        <v>485.68256876405667</v>
      </c>
      <c r="BV27" s="32">
        <f>AVERAGE(Timeline!B209:Q209)</f>
        <v>-32.378837917603789</v>
      </c>
      <c r="BW27" s="32">
        <f t="shared" si="41"/>
        <v>2899.2021712630412</v>
      </c>
      <c r="BX27" s="83">
        <f t="shared" si="76"/>
        <v>-102.79782873695876</v>
      </c>
    </row>
    <row r="28" spans="1:76" s="91" customFormat="1" x14ac:dyDescent="0.2">
      <c r="A28" s="122">
        <f t="shared" si="0"/>
        <v>26</v>
      </c>
      <c r="B28" s="144" t="str">
        <f t="shared" si="43"/>
        <v>Ilie Nastase</v>
      </c>
      <c r="C28" s="91" t="s">
        <v>185</v>
      </c>
      <c r="D28" s="91" t="s">
        <v>186</v>
      </c>
      <c r="E28" s="91" t="s">
        <v>187</v>
      </c>
      <c r="F28" s="144">
        <f>VLOOKUP(B28&amp;"5",Data!A28:C262,3,FALSE)</f>
        <v>2885</v>
      </c>
      <c r="G28" s="91">
        <f t="shared" si="44"/>
        <v>98</v>
      </c>
      <c r="H28" s="91">
        <f t="shared" si="45"/>
        <v>41</v>
      </c>
      <c r="I28" s="45">
        <f t="shared" si="46"/>
        <v>0.70503597122302153</v>
      </c>
      <c r="J28" s="54">
        <f>MAX(Data!D113:Z116)</f>
        <v>564</v>
      </c>
      <c r="K28" s="54">
        <f>MAX(Data!D117:Z117)</f>
        <v>801</v>
      </c>
      <c r="L28" s="46">
        <f t="shared" si="47"/>
        <v>49.748201438848923</v>
      </c>
      <c r="M28" s="12">
        <f t="shared" si="48"/>
        <v>160.27777777777777</v>
      </c>
      <c r="N28" s="12">
        <f t="shared" si="49"/>
        <v>67.093023255813947</v>
      </c>
      <c r="O28" s="12">
        <f t="shared" si="50"/>
        <v>29.438775510204081</v>
      </c>
      <c r="P28" s="32">
        <v>1946</v>
      </c>
      <c r="Q28" s="91">
        <f t="shared" si="51"/>
        <v>18</v>
      </c>
      <c r="R28" s="91">
        <v>1968</v>
      </c>
      <c r="S28" s="91">
        <v>1985</v>
      </c>
      <c r="T28" s="32">
        <f>VLOOKUP($B28&amp;"1",Data!$A:$AB,27, FALSE)</f>
        <v>-11</v>
      </c>
      <c r="U28" s="32">
        <f>VLOOKUP($B28&amp;"2",Data!$A:$AB,27, FALSE)</f>
        <v>1127</v>
      </c>
      <c r="V28" s="32">
        <f>VLOOKUP($B28&amp;"3",Data!$A:$AB,27, FALSE)</f>
        <v>861</v>
      </c>
      <c r="W28" s="32">
        <f>VLOOKUP($B28&amp;"4",Data!$A:$AB,27, FALSE)</f>
        <v>908</v>
      </c>
      <c r="X28" s="32">
        <f t="shared" si="10"/>
        <v>45</v>
      </c>
      <c r="Y28" s="32">
        <f t="shared" si="11"/>
        <v>17</v>
      </c>
      <c r="Z28" s="32">
        <f t="shared" si="12"/>
        <v>23</v>
      </c>
      <c r="AA28" s="32">
        <f t="shared" si="13"/>
        <v>31</v>
      </c>
      <c r="AB28" s="32">
        <f>VLOOKUP($B28&amp;"1",Data!$A:$AB,28, FALSE)</f>
        <v>1</v>
      </c>
      <c r="AC28" s="32">
        <f>VLOOKUP($B28&amp;"2",Data!$A:$AB,28, FALSE)</f>
        <v>14</v>
      </c>
      <c r="AD28" s="32">
        <f>VLOOKUP($B28&amp;"3",Data!$A:$AB,28, FALSE)</f>
        <v>13</v>
      </c>
      <c r="AE28" s="32">
        <f>VLOOKUP($B28&amp;"4",Data!$A:$AB,28, FALSE)</f>
        <v>15</v>
      </c>
      <c r="AF28" s="32">
        <f t="shared" si="52"/>
        <v>-11</v>
      </c>
      <c r="AG28" s="32">
        <f t="shared" si="53"/>
        <v>80.5</v>
      </c>
      <c r="AH28" s="32">
        <f t="shared" si="54"/>
        <v>66.230769230769226</v>
      </c>
      <c r="AI28" s="32">
        <f t="shared" si="55"/>
        <v>60.533333333333331</v>
      </c>
      <c r="AJ28" s="91">
        <v>43</v>
      </c>
      <c r="AK28" s="91">
        <v>32</v>
      </c>
      <c r="AL28" s="91">
        <v>24</v>
      </c>
      <c r="AM28" s="91">
        <v>17</v>
      </c>
      <c r="AN28" s="91">
        <v>12</v>
      </c>
      <c r="AO28" s="91">
        <v>6</v>
      </c>
      <c r="AP28" s="91">
        <v>5</v>
      </c>
      <c r="AQ28" s="91">
        <v>2</v>
      </c>
      <c r="AR28" s="12">
        <f>AVERAGE(Data!H116,Data!I114)</f>
        <v>522</v>
      </c>
      <c r="AS28" s="12">
        <f>AVERAGE(Data!H115,Data!G114,Data!L115)</f>
        <v>344.66666666666669</v>
      </c>
      <c r="AT28" s="12">
        <f>AVERAGE(Data!L116)</f>
        <v>322</v>
      </c>
      <c r="AU28" s="12">
        <f>AVERAGE(Data!M115:N115,Data!M114,Data!K116,Data!J114,Data!F114)</f>
        <v>138.83333333333334</v>
      </c>
      <c r="AV28" s="12">
        <f>AVERAGE(Data!D114:E114,Data!E115:E116,Data!F115:G115,Data!G116,Data!H114,Data!I115:J116,Data!K114:K115,Data!M116,Data!O114,Data!O116:U116,Data!P115:R115,Data!Q114:T114,Data!Q113)</f>
        <v>-11.225806451612904</v>
      </c>
      <c r="AW28" s="91">
        <f t="shared" si="56"/>
        <v>2</v>
      </c>
      <c r="AX28" s="91">
        <f t="shared" si="57"/>
        <v>3</v>
      </c>
      <c r="AY28" s="91">
        <f t="shared" si="58"/>
        <v>1</v>
      </c>
      <c r="AZ28" s="91">
        <f t="shared" si="59"/>
        <v>6</v>
      </c>
      <c r="BA28" s="32">
        <f t="shared" si="60"/>
        <v>31</v>
      </c>
      <c r="BB28" s="32">
        <f t="shared" si="61"/>
        <v>1044</v>
      </c>
      <c r="BC28" s="32">
        <f t="shared" si="62"/>
        <v>1034</v>
      </c>
      <c r="BD28" s="32">
        <f t="shared" si="63"/>
        <v>322</v>
      </c>
      <c r="BE28" s="32">
        <f t="shared" si="64"/>
        <v>833</v>
      </c>
      <c r="BF28" s="32">
        <f t="shared" si="65"/>
        <v>-348</v>
      </c>
      <c r="BG28" s="32">
        <f t="shared" si="28"/>
        <v>3338.334778413785</v>
      </c>
      <c r="BH28" s="91">
        <f t="shared" si="66"/>
        <v>2885</v>
      </c>
      <c r="BI28" s="83">
        <f t="shared" si="67"/>
        <v>453.33477841378499</v>
      </c>
      <c r="BJ28" s="91">
        <f t="shared" si="68"/>
        <v>43</v>
      </c>
      <c r="BK28" s="91">
        <v>0</v>
      </c>
      <c r="BL28" s="32">
        <f>BH28-(BJ28*Timeline!$AG$202)-(BK28*Timeline!$AK$202)</f>
        <v>3663.922931544229</v>
      </c>
      <c r="BM28" s="83">
        <f t="shared" si="69"/>
        <v>778.92293154422896</v>
      </c>
      <c r="BN28" s="32">
        <f t="shared" si="33"/>
        <v>3268.3193934747055</v>
      </c>
      <c r="BO28" s="83">
        <f t="shared" si="70"/>
        <v>383.31939347470552</v>
      </c>
      <c r="BP28" s="32">
        <f t="shared" si="71"/>
        <v>2889</v>
      </c>
      <c r="BQ28" s="83">
        <f t="shared" si="72"/>
        <v>4</v>
      </c>
      <c r="BR28" s="83">
        <f t="shared" si="37"/>
        <v>2904.2251980445858</v>
      </c>
      <c r="BS28" s="83">
        <f t="shared" si="73"/>
        <v>19.225198044585795</v>
      </c>
      <c r="BT28" s="32">
        <f t="shared" si="74"/>
        <v>3624.3610365966188</v>
      </c>
      <c r="BU28" s="83">
        <f t="shared" si="75"/>
        <v>739.36103659661876</v>
      </c>
      <c r="BV28" s="32">
        <f>AVERAGE(Timeline!B209:S209)</f>
        <v>-43.491825682154058</v>
      </c>
      <c r="BW28" s="32">
        <f t="shared" si="41"/>
        <v>3035.8806390956033</v>
      </c>
      <c r="BX28" s="83">
        <f t="shared" si="76"/>
        <v>150.88063909560333</v>
      </c>
    </row>
    <row r="29" spans="1:76" s="98" customFormat="1" x14ac:dyDescent="0.2">
      <c r="A29" s="122">
        <f t="shared" si="0"/>
        <v>28</v>
      </c>
      <c r="B29" s="144" t="str">
        <f t="shared" si="43"/>
        <v>Jan Kodes</v>
      </c>
      <c r="C29" s="98" t="s">
        <v>163</v>
      </c>
      <c r="D29" s="98" t="s">
        <v>164</v>
      </c>
      <c r="E29" s="98" t="s">
        <v>59</v>
      </c>
      <c r="F29" s="144">
        <f>VLOOKUP(B29&amp;"5",Data!A29:C263,3,FALSE)</f>
        <v>2845</v>
      </c>
      <c r="G29" s="98">
        <f t="shared" si="44"/>
        <v>82</v>
      </c>
      <c r="H29" s="98">
        <f t="shared" si="45"/>
        <v>25</v>
      </c>
      <c r="I29" s="45">
        <f t="shared" si="46"/>
        <v>0.76635514018691586</v>
      </c>
      <c r="J29" s="54">
        <f>MAX(Data!D108:Z111)</f>
        <v>498</v>
      </c>
      <c r="K29" s="54">
        <f>MAX(Data!D112:Z112)</f>
        <v>852</v>
      </c>
      <c r="L29" s="46">
        <f t="shared" si="47"/>
        <v>50.046728971962615</v>
      </c>
      <c r="M29" s="12">
        <f t="shared" si="48"/>
        <v>258.63636363636363</v>
      </c>
      <c r="N29" s="12">
        <f t="shared" si="49"/>
        <v>101.60714285714286</v>
      </c>
      <c r="O29" s="12">
        <f t="shared" si="50"/>
        <v>34.695121951219512</v>
      </c>
      <c r="P29" s="32">
        <v>1946</v>
      </c>
      <c r="Q29" s="98">
        <f t="shared" si="51"/>
        <v>11</v>
      </c>
      <c r="R29" s="98">
        <v>1968</v>
      </c>
      <c r="S29" s="98">
        <v>1978</v>
      </c>
      <c r="T29" s="32">
        <f>VLOOKUP($B29&amp;"1",Data!$A:$AB,27, FALSE)</f>
        <v>0</v>
      </c>
      <c r="U29" s="32">
        <f>VLOOKUP($B29&amp;"2",Data!$A:$AB,27, FALSE)</f>
        <v>1520</v>
      </c>
      <c r="V29" s="32">
        <f>VLOOKUP($B29&amp;"3",Data!$A:$AB,27, FALSE)</f>
        <v>276</v>
      </c>
      <c r="W29" s="32">
        <f>VLOOKUP($B29&amp;"4",Data!$A:$AB,27, FALSE)</f>
        <v>1049</v>
      </c>
      <c r="X29" s="32">
        <f t="shared" si="10"/>
        <v>43</v>
      </c>
      <c r="Y29" s="32">
        <f t="shared" si="11"/>
        <v>12</v>
      </c>
      <c r="Z29" s="32">
        <f t="shared" si="12"/>
        <v>33</v>
      </c>
      <c r="AA29" s="32">
        <f t="shared" si="13"/>
        <v>26</v>
      </c>
      <c r="AB29" s="32">
        <f>VLOOKUP($B29&amp;"1",Data!$A:$AB,28, FALSE)</f>
        <v>0</v>
      </c>
      <c r="AC29" s="32">
        <f>VLOOKUP($B29&amp;"2",Data!$A:$AB,28, FALSE)</f>
        <v>10</v>
      </c>
      <c r="AD29" s="32">
        <f>VLOOKUP($B29&amp;"3",Data!$A:$AB,28, FALSE)</f>
        <v>10</v>
      </c>
      <c r="AE29" s="32">
        <f>VLOOKUP($B29&amp;"4",Data!$A:$AB,28, FALSE)</f>
        <v>8</v>
      </c>
      <c r="AF29" s="32">
        <v>0</v>
      </c>
      <c r="AG29" s="32">
        <f t="shared" ref="AG29:AG51" si="77">U29/AC29</f>
        <v>152</v>
      </c>
      <c r="AH29" s="32">
        <f t="shared" ref="AH29:AH51" si="78">V29/AD29</f>
        <v>27.6</v>
      </c>
      <c r="AI29" s="32">
        <f t="shared" ref="AI29:AI51" si="79">W29/AE29</f>
        <v>131.125</v>
      </c>
      <c r="AJ29" s="98">
        <v>28</v>
      </c>
      <c r="AK29" s="98">
        <v>23</v>
      </c>
      <c r="AL29" s="98">
        <v>19</v>
      </c>
      <c r="AM29" s="98">
        <v>16</v>
      </c>
      <c r="AN29" s="98">
        <v>10</v>
      </c>
      <c r="AO29" s="98">
        <v>6</v>
      </c>
      <c r="AP29" s="98">
        <v>5</v>
      </c>
      <c r="AQ29" s="98">
        <v>3</v>
      </c>
      <c r="AR29" s="12">
        <f>AVERAGE(Data!F109:G109,Data!I110)</f>
        <v>429</v>
      </c>
      <c r="AS29" s="12">
        <f>AVERAGE(Data!G111,Data!I111)</f>
        <v>377</v>
      </c>
      <c r="AT29" s="12">
        <f>AVERAGE(Data!H110)</f>
        <v>180</v>
      </c>
      <c r="AU29" s="12">
        <f>AVERAGE(Data!H109:I109,Data!J110,Data!L111)</f>
        <v>187.5</v>
      </c>
      <c r="AV29" s="12">
        <f>AVERAGE(Data!D110,Data!E109:E111,Data!F110:G110,Data!H111,Data!J109:N109,Data!J111:K111,Data!K110,Data!M110:N110,Data!M111)</f>
        <v>-7</v>
      </c>
      <c r="AW29" s="98">
        <f t="shared" si="56"/>
        <v>3</v>
      </c>
      <c r="AX29" s="98">
        <f t="shared" si="57"/>
        <v>2</v>
      </c>
      <c r="AY29" s="98">
        <f t="shared" si="58"/>
        <v>1</v>
      </c>
      <c r="AZ29" s="98">
        <f t="shared" si="59"/>
        <v>4</v>
      </c>
      <c r="BA29" s="32">
        <f t="shared" si="60"/>
        <v>18</v>
      </c>
      <c r="BB29" s="32">
        <f t="shared" si="61"/>
        <v>1287</v>
      </c>
      <c r="BC29" s="32">
        <f t="shared" si="62"/>
        <v>754</v>
      </c>
      <c r="BD29" s="32">
        <f t="shared" si="63"/>
        <v>180</v>
      </c>
      <c r="BE29" s="32">
        <f t="shared" si="64"/>
        <v>750</v>
      </c>
      <c r="BF29" s="32">
        <f t="shared" si="65"/>
        <v>-126</v>
      </c>
      <c r="BG29" s="32">
        <f t="shared" si="28"/>
        <v>3052.6674143502387</v>
      </c>
      <c r="BH29" s="98">
        <f t="shared" si="66"/>
        <v>2845</v>
      </c>
      <c r="BI29" s="83">
        <f t="shared" si="67"/>
        <v>207.66741435023869</v>
      </c>
      <c r="BJ29" s="98">
        <f t="shared" si="68"/>
        <v>28</v>
      </c>
      <c r="BK29" s="98">
        <v>0</v>
      </c>
      <c r="BL29" s="32">
        <f>BH29-(BJ29*Timeline!$AG$202)-(BK29*Timeline!$AK$202)</f>
        <v>3352.2056298427538</v>
      </c>
      <c r="BM29" s="83">
        <f t="shared" si="69"/>
        <v>507.20562984275375</v>
      </c>
      <c r="BN29" s="32">
        <f t="shared" si="33"/>
        <v>2956.6020917732303</v>
      </c>
      <c r="BO29" s="83">
        <f t="shared" si="70"/>
        <v>111.60209177323031</v>
      </c>
      <c r="BP29" s="32">
        <f t="shared" si="71"/>
        <v>3219</v>
      </c>
      <c r="BQ29" s="83">
        <f t="shared" si="72"/>
        <v>374</v>
      </c>
      <c r="BR29" s="83">
        <f t="shared" si="37"/>
        <v>3234.2251980445858</v>
      </c>
      <c r="BS29" s="83">
        <f t="shared" si="73"/>
        <v>389.2251980445858</v>
      </c>
      <c r="BT29" s="32">
        <f t="shared" si="74"/>
        <v>2957.6033818816654</v>
      </c>
      <c r="BU29" s="83">
        <f t="shared" si="75"/>
        <v>112.60338188166543</v>
      </c>
      <c r="BV29" s="32">
        <f>AVERAGE(Timeline!B209:L209)</f>
        <v>-11.260338188166559</v>
      </c>
      <c r="BW29" s="32">
        <f t="shared" si="41"/>
        <v>2369.1229843806495</v>
      </c>
      <c r="BX29" s="83">
        <f t="shared" si="76"/>
        <v>-475.87701561935046</v>
      </c>
    </row>
    <row r="30" spans="1:76" s="100" customFormat="1" x14ac:dyDescent="0.2">
      <c r="A30" s="122">
        <f t="shared" si="0"/>
        <v>29</v>
      </c>
      <c r="B30" s="144" t="str">
        <f t="shared" si="43"/>
        <v>Marat Safin</v>
      </c>
      <c r="C30" s="100" t="s">
        <v>221</v>
      </c>
      <c r="D30" s="100" t="s">
        <v>222</v>
      </c>
      <c r="E30" s="100" t="s">
        <v>223</v>
      </c>
      <c r="F30" s="144">
        <f>VLOOKUP(B30&amp;"5",Data!A35:C269,3,FALSE)</f>
        <v>2840</v>
      </c>
      <c r="G30" s="100">
        <f t="shared" si="44"/>
        <v>95</v>
      </c>
      <c r="H30" s="100">
        <f t="shared" si="45"/>
        <v>39</v>
      </c>
      <c r="I30" s="45">
        <f t="shared" si="46"/>
        <v>0.70895522388059706</v>
      </c>
      <c r="J30" s="54">
        <f>MAX(Data!D163:Z166)</f>
        <v>462</v>
      </c>
      <c r="K30" s="54">
        <f>MAX(Data!D167:Z167)</f>
        <v>557</v>
      </c>
      <c r="L30" s="46">
        <f t="shared" si="47"/>
        <v>49.701492537313435</v>
      </c>
      <c r="M30" s="12">
        <f t="shared" si="48"/>
        <v>236.66666666666666</v>
      </c>
      <c r="N30" s="12">
        <f t="shared" si="49"/>
        <v>69.268292682926827</v>
      </c>
      <c r="O30" s="12">
        <f t="shared" si="50"/>
        <v>29.894736842105264</v>
      </c>
      <c r="P30" s="32">
        <v>1980</v>
      </c>
      <c r="Q30" s="100">
        <f t="shared" si="51"/>
        <v>12</v>
      </c>
      <c r="R30" s="100">
        <v>1998</v>
      </c>
      <c r="S30" s="100">
        <v>2009</v>
      </c>
      <c r="T30" s="32">
        <f>VLOOKUP($B30&amp;"1",Data!$A:$AB,27, FALSE)</f>
        <v>1395</v>
      </c>
      <c r="U30" s="32">
        <f>VLOOKUP($B30&amp;"2",Data!$A:$AB,27, FALSE)</f>
        <v>701</v>
      </c>
      <c r="V30" s="32">
        <f>VLOOKUP($B30&amp;"3",Data!$A:$AB,27, FALSE)</f>
        <v>88</v>
      </c>
      <c r="W30" s="32">
        <f>VLOOKUP($B30&amp;"4",Data!$A:$AB,27, FALSE)</f>
        <v>829</v>
      </c>
      <c r="X30" s="32">
        <f t="shared" si="10"/>
        <v>13</v>
      </c>
      <c r="Y30" s="32">
        <f t="shared" si="11"/>
        <v>31</v>
      </c>
      <c r="Z30" s="32">
        <f t="shared" si="12"/>
        <v>39</v>
      </c>
      <c r="AA30" s="32">
        <f t="shared" si="13"/>
        <v>33</v>
      </c>
      <c r="AB30" s="32">
        <f>VLOOKUP($B30&amp;"1",Data!$A:$AB,28, FALSE)</f>
        <v>10</v>
      </c>
      <c r="AC30" s="32">
        <f>VLOOKUP($B30&amp;"2",Data!$A:$AB,28, FALSE)</f>
        <v>11</v>
      </c>
      <c r="AD30" s="32">
        <f>VLOOKUP($B30&amp;"3",Data!$A:$AB,28, FALSE)</f>
        <v>10</v>
      </c>
      <c r="AE30" s="32">
        <f>VLOOKUP($B30&amp;"4",Data!$A:$AB,28, FALSE)</f>
        <v>10</v>
      </c>
      <c r="AF30" s="32">
        <f t="shared" ref="AF30:AF51" si="80">T30/AB30</f>
        <v>139.5</v>
      </c>
      <c r="AG30" s="32">
        <f t="shared" si="77"/>
        <v>63.727272727272727</v>
      </c>
      <c r="AH30" s="32">
        <f t="shared" si="78"/>
        <v>8.8000000000000007</v>
      </c>
      <c r="AI30" s="32">
        <f t="shared" si="79"/>
        <v>82.9</v>
      </c>
      <c r="AJ30" s="100">
        <v>41</v>
      </c>
      <c r="AK30" s="100">
        <v>34</v>
      </c>
      <c r="AL30" s="100">
        <v>23</v>
      </c>
      <c r="AM30" s="100">
        <v>16</v>
      </c>
      <c r="AN30" s="100">
        <v>9</v>
      </c>
      <c r="AO30" s="100">
        <v>7</v>
      </c>
      <c r="AP30" s="100">
        <v>4</v>
      </c>
      <c r="AQ30" s="100">
        <v>2</v>
      </c>
      <c r="AR30" s="12">
        <f>AVERAGE(Timeline!AH149,Timeline!AM146)</f>
        <v>456.5</v>
      </c>
      <c r="AS30" s="12">
        <f>AVERAGE(Timeline!AL146,Timeline!AJ146)</f>
        <v>345</v>
      </c>
      <c r="AT30" s="12">
        <f>AVERAGE(Timeline!AI149,Timeline!AJ147)</f>
        <v>213.5</v>
      </c>
      <c r="AU30" s="12">
        <f>AVERAGE(Timeline!AI148,Timeline!AH147)</f>
        <v>154</v>
      </c>
      <c r="AV30" s="12">
        <f>AVERAGE(Timeline!AF146:AG149,Timeline!AH146:AI146,Timeline!AI147,Timeline!AJ148:AJ149,Timeline!AK146,Timeline!AL147:AL149,Timeline!AM147:AO148,Timeline!AN149:AQ149,Timeline!AO146:AQ146,Timeline!AP147:AQ147,Timeline!AQ148)</f>
        <v>12.193548387096774</v>
      </c>
      <c r="AW30" s="100">
        <f t="shared" si="56"/>
        <v>2</v>
      </c>
      <c r="AX30" s="100">
        <f t="shared" si="57"/>
        <v>2</v>
      </c>
      <c r="AY30" s="100">
        <f t="shared" si="58"/>
        <v>3</v>
      </c>
      <c r="AZ30" s="100">
        <f t="shared" si="59"/>
        <v>2</v>
      </c>
      <c r="BA30" s="32">
        <f t="shared" si="60"/>
        <v>32</v>
      </c>
      <c r="BB30" s="32">
        <f t="shared" si="61"/>
        <v>913</v>
      </c>
      <c r="BC30" s="32">
        <f t="shared" si="62"/>
        <v>690</v>
      </c>
      <c r="BD30" s="32">
        <f t="shared" si="63"/>
        <v>640.5</v>
      </c>
      <c r="BE30" s="32">
        <f t="shared" si="64"/>
        <v>308</v>
      </c>
      <c r="BF30" s="32">
        <f t="shared" si="65"/>
        <v>390.19354838709677</v>
      </c>
      <c r="BG30" s="32">
        <f t="shared" si="28"/>
        <v>2849.5102025196852</v>
      </c>
      <c r="BH30" s="100">
        <f t="shared" si="66"/>
        <v>2840</v>
      </c>
      <c r="BI30" s="83">
        <f t="shared" si="67"/>
        <v>9.5102025196852082</v>
      </c>
      <c r="BJ30" s="100">
        <f t="shared" si="68"/>
        <v>14</v>
      </c>
      <c r="BK30" s="100">
        <f>AJ30-COUNT(Timeline!D141:AH144)-2</f>
        <v>27</v>
      </c>
      <c r="BL30" s="32">
        <f>BH30-(BJ30*Timeline!$AG$202)-(BK30*Timeline!$AK$202)</f>
        <v>2964.557363538087</v>
      </c>
      <c r="BM30" s="83">
        <f t="shared" si="69"/>
        <v>124.55736353808697</v>
      </c>
      <c r="BN30" s="32">
        <f t="shared" si="33"/>
        <v>2568.9538254685635</v>
      </c>
      <c r="BO30" s="83">
        <f t="shared" si="70"/>
        <v>-271.04617453143646</v>
      </c>
      <c r="BP30" s="32">
        <f t="shared" si="71"/>
        <v>2543.5</v>
      </c>
      <c r="BQ30" s="83">
        <f t="shared" si="72"/>
        <v>-296.5</v>
      </c>
      <c r="BR30" s="83">
        <f t="shared" si="37"/>
        <v>2558.7251980445858</v>
      </c>
      <c r="BS30" s="83">
        <f t="shared" si="73"/>
        <v>-281.2748019554142</v>
      </c>
      <c r="BT30" s="32">
        <f t="shared" si="74"/>
        <v>3367.2257175619475</v>
      </c>
      <c r="BU30" s="83">
        <f t="shared" si="75"/>
        <v>527.22571756194748</v>
      </c>
      <c r="BV30" s="32">
        <f>AVERAGE(Timeline!AF209:AQ209)</f>
        <v>-47.92961068744976</v>
      </c>
      <c r="BW30" s="32">
        <f t="shared" si="41"/>
        <v>2778.7453200609316</v>
      </c>
      <c r="BX30" s="83">
        <f t="shared" si="76"/>
        <v>-61.25467993906841</v>
      </c>
    </row>
    <row r="31" spans="1:76" s="102" customFormat="1" x14ac:dyDescent="0.2">
      <c r="A31" s="122">
        <f t="shared" si="0"/>
        <v>30</v>
      </c>
      <c r="B31" s="144" t="str">
        <f t="shared" si="43"/>
        <v>Yevgeny Kafelnikov</v>
      </c>
      <c r="C31" s="102" t="s">
        <v>224</v>
      </c>
      <c r="D31" s="102" t="s">
        <v>225</v>
      </c>
      <c r="E31" s="102" t="s">
        <v>223</v>
      </c>
      <c r="F31" s="144">
        <f>VLOOKUP(B31&amp;"5",Data!A36:C270,3,FALSE)</f>
        <v>2802</v>
      </c>
      <c r="G31" s="102">
        <f t="shared" si="44"/>
        <v>99</v>
      </c>
      <c r="H31" s="102">
        <f t="shared" si="45"/>
        <v>36</v>
      </c>
      <c r="I31" s="45">
        <f t="shared" si="46"/>
        <v>0.73333333333333328</v>
      </c>
      <c r="J31" s="54">
        <f>MAX(Data!D168:Z171)</f>
        <v>497</v>
      </c>
      <c r="K31" s="54">
        <f>MAX(Data!D172:Z172)</f>
        <v>801</v>
      </c>
      <c r="L31" s="46">
        <f t="shared" si="47"/>
        <v>52.577777777777776</v>
      </c>
      <c r="M31" s="12">
        <f t="shared" si="48"/>
        <v>254.72727272727272</v>
      </c>
      <c r="N31" s="12">
        <f t="shared" si="49"/>
        <v>73.736842105263165</v>
      </c>
      <c r="O31" s="12">
        <f t="shared" si="50"/>
        <v>28.303030303030305</v>
      </c>
      <c r="P31" s="32">
        <v>1974</v>
      </c>
      <c r="Q31" s="102">
        <f t="shared" si="51"/>
        <v>11</v>
      </c>
      <c r="R31" s="102">
        <v>1993</v>
      </c>
      <c r="S31" s="102">
        <v>2003</v>
      </c>
      <c r="T31" s="32">
        <f>VLOOKUP($B31&amp;"1",Data!$A:$AB,27, FALSE)</f>
        <v>1122</v>
      </c>
      <c r="U31" s="32">
        <f>VLOOKUP($B31&amp;"2",Data!$A:$AB,27, FALSE)</f>
        <v>840</v>
      </c>
      <c r="V31" s="32">
        <f>VLOOKUP($B31&amp;"3",Data!$A:$AB,27, FALSE)</f>
        <v>76</v>
      </c>
      <c r="W31" s="32">
        <f>VLOOKUP($B31&amp;"4",Data!$A:$AB,27, FALSE)</f>
        <v>764</v>
      </c>
      <c r="X31" s="32">
        <f t="shared" si="10"/>
        <v>18</v>
      </c>
      <c r="Y31" s="32">
        <f t="shared" si="11"/>
        <v>26</v>
      </c>
      <c r="Z31" s="32">
        <f t="shared" si="12"/>
        <v>40</v>
      </c>
      <c r="AA31" s="32">
        <f t="shared" si="13"/>
        <v>36</v>
      </c>
      <c r="AB31" s="32">
        <f>VLOOKUP($B31&amp;"1",Data!$A:$AB,28, FALSE)</f>
        <v>8</v>
      </c>
      <c r="AC31" s="32">
        <f>VLOOKUP($B31&amp;"2",Data!$A:$AB,28, FALSE)</f>
        <v>11</v>
      </c>
      <c r="AD31" s="32">
        <f>VLOOKUP($B31&amp;"3",Data!$A:$AB,28, FALSE)</f>
        <v>10</v>
      </c>
      <c r="AE31" s="32">
        <f>VLOOKUP($B31&amp;"4",Data!$A:$AB,28, FALSE)</f>
        <v>9</v>
      </c>
      <c r="AF31" s="32">
        <f t="shared" si="80"/>
        <v>140.25</v>
      </c>
      <c r="AG31" s="32">
        <f t="shared" si="77"/>
        <v>76.36363636363636</v>
      </c>
      <c r="AH31" s="32">
        <f t="shared" si="78"/>
        <v>7.6</v>
      </c>
      <c r="AI31" s="32">
        <f t="shared" si="79"/>
        <v>84.888888888888886</v>
      </c>
      <c r="AJ31" s="102">
        <v>38</v>
      </c>
      <c r="AK31" s="102">
        <v>35</v>
      </c>
      <c r="AL31" s="102">
        <v>24</v>
      </c>
      <c r="AM31" s="102">
        <v>16</v>
      </c>
      <c r="AN31" s="102">
        <v>13</v>
      </c>
      <c r="AO31" s="102">
        <v>6</v>
      </c>
      <c r="AP31" s="102">
        <v>3</v>
      </c>
      <c r="AQ31" s="102">
        <v>2</v>
      </c>
      <c r="AR31" s="12">
        <f>AVERAGE(Timeline!AD135,Timeline!AG134)</f>
        <v>461.5</v>
      </c>
      <c r="AS31" s="12">
        <f>AVERAGE(Timeline!AH134)</f>
        <v>317</v>
      </c>
      <c r="AT31" s="12">
        <f>AVERAGE(Timeline!AG137,Timeline!AI137,Timeline!AC135)</f>
        <v>250</v>
      </c>
      <c r="AU31" s="12">
        <f>AVERAGE(Timeline!AC136,Timeline!AC134:AD134,Timeline!AE135,Timeline!AH135:AI135,Timeline!AI134)</f>
        <v>150.28571428571428</v>
      </c>
      <c r="AV31" s="12">
        <f>AVERAGE(Timeline!AA134:AB137,Timeline!AC137:AF137,Timeline!AD136:AK136,Timeline!AF135:AG135,Timeline!AH137,Timeline!AJ134:AK135,Timeline!AJ137:AK137)</f>
        <v>-9.6</v>
      </c>
      <c r="AW31" s="102">
        <f t="shared" si="56"/>
        <v>2</v>
      </c>
      <c r="AX31" s="102">
        <f t="shared" si="57"/>
        <v>1</v>
      </c>
      <c r="AY31" s="102">
        <f t="shared" si="58"/>
        <v>3</v>
      </c>
      <c r="AZ31" s="102">
        <f t="shared" si="59"/>
        <v>7</v>
      </c>
      <c r="BA31" s="32">
        <f t="shared" si="60"/>
        <v>25</v>
      </c>
      <c r="BB31" s="32">
        <f t="shared" si="61"/>
        <v>923</v>
      </c>
      <c r="BC31" s="32">
        <f t="shared" si="62"/>
        <v>317</v>
      </c>
      <c r="BD31" s="32">
        <f t="shared" si="63"/>
        <v>750</v>
      </c>
      <c r="BE31" s="32">
        <f t="shared" si="64"/>
        <v>1052</v>
      </c>
      <c r="BF31" s="32">
        <f t="shared" si="65"/>
        <v>-240</v>
      </c>
      <c r="BG31" s="32">
        <f t="shared" si="28"/>
        <v>3227.675386238072</v>
      </c>
      <c r="BH31" s="104">
        <f t="shared" si="66"/>
        <v>2802</v>
      </c>
      <c r="BI31" s="83">
        <f t="shared" si="67"/>
        <v>425.67538623807195</v>
      </c>
      <c r="BJ31" s="104">
        <f t="shared" si="68"/>
        <v>12</v>
      </c>
      <c r="BK31" s="102">
        <f>AJ31-COUNT(Timeline!D142:AH145)-2</f>
        <v>26</v>
      </c>
      <c r="BL31" s="32">
        <f>BH31-(BJ31*Timeline!$AG$202)-(BK31*Timeline!$AK$202)</f>
        <v>2895.1078511402347</v>
      </c>
      <c r="BM31" s="83">
        <f t="shared" si="69"/>
        <v>93.107851140234743</v>
      </c>
      <c r="BN31" s="32">
        <f t="shared" si="33"/>
        <v>2499.5043130707113</v>
      </c>
      <c r="BO31" s="83">
        <f t="shared" si="70"/>
        <v>-302.49568692928869</v>
      </c>
      <c r="BP31" s="32">
        <f t="shared" si="71"/>
        <v>2728</v>
      </c>
      <c r="BQ31" s="83">
        <f t="shared" si="72"/>
        <v>-74</v>
      </c>
      <c r="BR31" s="83">
        <f t="shared" si="37"/>
        <v>2743.2251980445858</v>
      </c>
      <c r="BS31" s="83">
        <f t="shared" si="73"/>
        <v>-58.774801955414205</v>
      </c>
      <c r="BT31" s="32">
        <f t="shared" si="74"/>
        <v>3699.529411278625</v>
      </c>
      <c r="BU31" s="83">
        <f t="shared" si="75"/>
        <v>897.52941127862505</v>
      </c>
      <c r="BV31" s="32">
        <f>AVERAGE(Timeline!AA209:AK209)</f>
        <v>-89.752941127862528</v>
      </c>
      <c r="BW31" s="32">
        <f t="shared" si="41"/>
        <v>3111.0490137776096</v>
      </c>
      <c r="BX31" s="83">
        <f t="shared" si="76"/>
        <v>309.04901377760962</v>
      </c>
    </row>
    <row r="32" spans="1:76" s="161" customFormat="1" x14ac:dyDescent="0.2">
      <c r="A32" s="161">
        <f t="shared" si="0"/>
        <v>31</v>
      </c>
      <c r="B32" s="161" t="str">
        <f t="shared" si="43"/>
        <v>Roscoe Tanner</v>
      </c>
      <c r="C32" s="161" t="s">
        <v>250</v>
      </c>
      <c r="D32" s="161" t="s">
        <v>251</v>
      </c>
      <c r="E32" s="161" t="s">
        <v>31</v>
      </c>
      <c r="F32" s="161">
        <f>VLOOKUP(B32&amp;"5",Data!A37:C271,3,FALSE)</f>
        <v>2731</v>
      </c>
      <c r="G32" s="161">
        <f t="shared" si="44"/>
        <v>92</v>
      </c>
      <c r="H32" s="161">
        <f t="shared" si="45"/>
        <v>33</v>
      </c>
      <c r="I32" s="45">
        <f t="shared" si="46"/>
        <v>0.73599999999999999</v>
      </c>
      <c r="J32" s="54">
        <f>MAX(Data!D213:Z216)</f>
        <v>378</v>
      </c>
      <c r="K32" s="54">
        <f>MAX(Data!D217:Z217)</f>
        <v>615</v>
      </c>
      <c r="L32" s="46">
        <f t="shared" si="47"/>
        <v>51.752000000000002</v>
      </c>
      <c r="M32" s="12">
        <f t="shared" si="48"/>
        <v>170.6875</v>
      </c>
      <c r="N32" s="12">
        <f t="shared" si="49"/>
        <v>80.32352941176471</v>
      </c>
      <c r="O32" s="12">
        <f t="shared" si="50"/>
        <v>29.684782608695652</v>
      </c>
      <c r="P32" s="32">
        <v>1951</v>
      </c>
      <c r="Q32" s="161">
        <f t="shared" si="51"/>
        <v>16</v>
      </c>
      <c r="R32" s="161">
        <v>1969</v>
      </c>
      <c r="S32" s="161">
        <v>1984</v>
      </c>
      <c r="T32" s="32">
        <f>VLOOKUP($B32&amp;"1",Data!$A:$AB,27, FALSE)</f>
        <v>279</v>
      </c>
      <c r="U32" s="32">
        <f>VLOOKUP($B32&amp;"2",Data!$A:$AB,27, FALSE)</f>
        <v>-98</v>
      </c>
      <c r="V32" s="32">
        <f>VLOOKUP($B32&amp;"3",Data!$A:$AB,27, FALSE)</f>
        <v>1210</v>
      </c>
      <c r="W32" s="32">
        <f>VLOOKUP($B32&amp;"4",Data!$A:$AB,27, FALSE)</f>
        <v>1340</v>
      </c>
      <c r="X32" s="32">
        <f t="shared" si="10"/>
        <v>35</v>
      </c>
      <c r="Y32" s="32">
        <f t="shared" si="11"/>
        <v>46</v>
      </c>
      <c r="Z32" s="32">
        <f t="shared" si="12"/>
        <v>18</v>
      </c>
      <c r="AA32" s="32">
        <f t="shared" si="13"/>
        <v>20</v>
      </c>
      <c r="AB32" s="32">
        <f>VLOOKUP($B32&amp;"1",Data!$A:$AB,28, FALSE)</f>
        <v>4</v>
      </c>
      <c r="AC32" s="32">
        <f>VLOOKUP($B32&amp;"2",Data!$A:$AB,28, FALSE)</f>
        <v>3</v>
      </c>
      <c r="AD32" s="32">
        <f>VLOOKUP($B32&amp;"3",Data!$A:$AB,28, FALSE)</f>
        <v>11</v>
      </c>
      <c r="AE32" s="32">
        <f>VLOOKUP($B32&amp;"4",Data!$A:$AB,28, FALSE)</f>
        <v>16</v>
      </c>
      <c r="AF32" s="32">
        <f t="shared" si="80"/>
        <v>69.75</v>
      </c>
      <c r="AG32" s="32">
        <f t="shared" si="77"/>
        <v>-32.666666666666664</v>
      </c>
      <c r="AH32" s="32">
        <f t="shared" si="78"/>
        <v>110</v>
      </c>
      <c r="AI32" s="32">
        <f t="shared" si="79"/>
        <v>83.75</v>
      </c>
      <c r="AJ32" s="161">
        <v>34</v>
      </c>
      <c r="AK32" s="161">
        <v>29</v>
      </c>
      <c r="AL32" s="161">
        <v>25</v>
      </c>
      <c r="AM32" s="161">
        <v>18</v>
      </c>
      <c r="AN32" s="161">
        <v>11</v>
      </c>
      <c r="AO32" s="161">
        <v>6</v>
      </c>
      <c r="AP32" s="161">
        <v>2</v>
      </c>
      <c r="AQ32" s="161">
        <v>1</v>
      </c>
      <c r="AR32" s="12">
        <f>AVERAGE(Data!L213)</f>
        <v>378</v>
      </c>
      <c r="AS32" s="12">
        <f>AVERAGE(Data!N215)</f>
        <v>331</v>
      </c>
      <c r="AT32" s="12">
        <f>AVERAGE(Data!N216,Data!J215:K215,Data!I216)</f>
        <v>251</v>
      </c>
      <c r="AU32" s="12">
        <f>AVERAGE(Data!G216,Data!O215:O216,Data!P216,Data!R215)</f>
        <v>156.6</v>
      </c>
      <c r="AV32" s="12">
        <f>AVERAGE(Data!D216:F216,Data!G215,Data!H216,Data!I215,Data!I214:J214,Data!J216:M216,Data!L214:M215,Data!M213:R213,Data!P215:Q215,Data!Q216:S216)</f>
        <v>10.217391304347826</v>
      </c>
      <c r="AW32" s="161">
        <f t="shared" si="56"/>
        <v>1</v>
      </c>
      <c r="AX32" s="161">
        <f t="shared" si="57"/>
        <v>1</v>
      </c>
      <c r="AY32" s="161">
        <f t="shared" si="58"/>
        <v>4</v>
      </c>
      <c r="AZ32" s="161">
        <f t="shared" si="59"/>
        <v>5</v>
      </c>
      <c r="BA32" s="32">
        <f t="shared" si="60"/>
        <v>23</v>
      </c>
      <c r="BB32" s="32">
        <f t="shared" si="61"/>
        <v>378</v>
      </c>
      <c r="BC32" s="32">
        <f t="shared" si="62"/>
        <v>331</v>
      </c>
      <c r="BD32" s="32">
        <f t="shared" si="63"/>
        <v>1004</v>
      </c>
      <c r="BE32" s="32">
        <f t="shared" si="64"/>
        <v>783</v>
      </c>
      <c r="BF32" s="32">
        <f t="shared" si="65"/>
        <v>235</v>
      </c>
      <c r="BG32" s="32">
        <f t="shared" si="28"/>
        <v>2681.8778903363741</v>
      </c>
      <c r="BH32" s="161">
        <f t="shared" si="66"/>
        <v>2731</v>
      </c>
      <c r="BI32" s="83">
        <f t="shared" si="67"/>
        <v>-49.122109663625906</v>
      </c>
      <c r="BJ32" s="161">
        <f t="shared" si="68"/>
        <v>34</v>
      </c>
      <c r="BK32" s="161">
        <v>0</v>
      </c>
      <c r="BL32" s="32">
        <f>BH32-(BJ32*Timeline!$AG$202)-(BK32*Timeline!$AK$202)</f>
        <v>3346.8925505233437</v>
      </c>
      <c r="BM32" s="83">
        <f t="shared" si="69"/>
        <v>615.89255052334374</v>
      </c>
      <c r="BN32" s="32">
        <f t="shared" si="33"/>
        <v>2951.2890124538203</v>
      </c>
      <c r="BO32" s="83">
        <f t="shared" si="70"/>
        <v>220.28901245382031</v>
      </c>
      <c r="BP32" s="32">
        <f t="shared" si="71"/>
        <v>2684</v>
      </c>
      <c r="BQ32" s="83">
        <f t="shared" si="72"/>
        <v>-47</v>
      </c>
      <c r="BR32" s="83">
        <f t="shared" si="37"/>
        <v>2699.2251980445858</v>
      </c>
      <c r="BS32" s="83">
        <f t="shared" si="73"/>
        <v>-31.774801955414205</v>
      </c>
      <c r="BT32" s="32">
        <f t="shared" si="74"/>
        <v>3322.731675906914</v>
      </c>
      <c r="BU32" s="83">
        <f t="shared" si="75"/>
        <v>591.73167590691401</v>
      </c>
      <c r="BV32" s="32">
        <f>AVERAGE(Timeline!C209:R209)</f>
        <v>-39.448778393794278</v>
      </c>
      <c r="BW32" s="32">
        <f t="shared" si="41"/>
        <v>2734.2512784058981</v>
      </c>
      <c r="BX32" s="83">
        <f t="shared" si="76"/>
        <v>3.2512784058981197</v>
      </c>
    </row>
    <row r="33" spans="1:76" s="105" customFormat="1" x14ac:dyDescent="0.2">
      <c r="A33" s="122">
        <f t="shared" si="0"/>
        <v>33</v>
      </c>
      <c r="B33" s="149" t="str">
        <f t="shared" si="43"/>
        <v>Dominic Thiem</v>
      </c>
      <c r="C33" s="149" t="s">
        <v>212</v>
      </c>
      <c r="D33" s="149" t="s">
        <v>213</v>
      </c>
      <c r="E33" s="105" t="s">
        <v>214</v>
      </c>
      <c r="F33" s="144">
        <f>VLOOKUP(B33&amp;"5",Data!A30:C264,3,FALSE)</f>
        <v>2469</v>
      </c>
      <c r="G33" s="105">
        <f t="shared" si="44"/>
        <v>74</v>
      </c>
      <c r="H33" s="105">
        <f t="shared" si="45"/>
        <v>33</v>
      </c>
      <c r="I33" s="45">
        <f t="shared" si="46"/>
        <v>0.69158878504672894</v>
      </c>
      <c r="J33" s="54">
        <f>MAX(Data!D148:Z151)</f>
        <v>477</v>
      </c>
      <c r="K33" s="54">
        <f>MAX(Data!D152:Z152)</f>
        <v>1042</v>
      </c>
      <c r="L33" s="46">
        <f t="shared" si="47"/>
        <v>46.084112149532707</v>
      </c>
      <c r="M33" s="12">
        <f t="shared" si="48"/>
        <v>411.5</v>
      </c>
      <c r="N33" s="12">
        <f t="shared" si="49"/>
        <v>72.617647058823536</v>
      </c>
      <c r="O33" s="12">
        <f t="shared" si="50"/>
        <v>33.364864864864863</v>
      </c>
      <c r="P33" s="32">
        <v>1993</v>
      </c>
      <c r="Q33" s="105">
        <v>6</v>
      </c>
      <c r="R33" s="105">
        <v>2014</v>
      </c>
      <c r="S33" s="105">
        <v>2023</v>
      </c>
      <c r="T33" s="32">
        <f>VLOOKUP($B33&amp;"1",Data!$A:$AB,27, FALSE)</f>
        <v>633</v>
      </c>
      <c r="U33" s="32">
        <f>VLOOKUP($B33&amp;"2",Data!$A:$AB,27, FALSE)</f>
        <v>1176</v>
      </c>
      <c r="V33" s="32">
        <f>VLOOKUP($B33&amp;"3",Data!$A:$AB,27, FALSE)</f>
        <v>-227</v>
      </c>
      <c r="W33" s="32">
        <f>VLOOKUP($B33&amp;"4",Data!$A:$AB,27, FALSE)</f>
        <v>887</v>
      </c>
      <c r="X33" s="32">
        <f t="shared" si="10"/>
        <v>25</v>
      </c>
      <c r="Y33" s="32">
        <f t="shared" si="11"/>
        <v>16</v>
      </c>
      <c r="Z33" s="32">
        <f t="shared" si="12"/>
        <v>47</v>
      </c>
      <c r="AA33" s="32">
        <f t="shared" si="13"/>
        <v>32</v>
      </c>
      <c r="AB33" s="32">
        <f>VLOOKUP($B33&amp;"1",Data!$A:$AB,28, FALSE)</f>
        <v>10</v>
      </c>
      <c r="AC33" s="32">
        <f>VLOOKUP($B33&amp;"2",Data!$A:$AB,28, FALSE)</f>
        <v>10</v>
      </c>
      <c r="AD33" s="32">
        <f>VLOOKUP($B33&amp;"3",Data!$A:$AB,28, FALSE)</f>
        <v>7</v>
      </c>
      <c r="AE33" s="32">
        <f>VLOOKUP($B33&amp;"4",Data!$A:$AB,28, FALSE)</f>
        <v>9</v>
      </c>
      <c r="AF33" s="32">
        <f t="shared" si="80"/>
        <v>63.3</v>
      </c>
      <c r="AG33" s="32">
        <f t="shared" si="77"/>
        <v>117.6</v>
      </c>
      <c r="AH33" s="32">
        <f t="shared" si="78"/>
        <v>-32.428571428571431</v>
      </c>
      <c r="AI33" s="32">
        <f t="shared" si="79"/>
        <v>98.555555555555557</v>
      </c>
      <c r="AJ33" s="105">
        <v>34</v>
      </c>
      <c r="AK33" s="105">
        <v>23</v>
      </c>
      <c r="AL33" s="105">
        <v>17</v>
      </c>
      <c r="AM33" s="105">
        <v>15</v>
      </c>
      <c r="AN33" s="105">
        <v>8</v>
      </c>
      <c r="AO33" s="105">
        <v>6</v>
      </c>
      <c r="AP33" s="105">
        <v>4</v>
      </c>
      <c r="AQ33" s="105">
        <v>1</v>
      </c>
      <c r="AR33" s="12">
        <f>Data!J151</f>
        <v>477</v>
      </c>
      <c r="AS33" s="12">
        <f>AVERAGE(Data!H149:I149)</f>
        <v>340.5</v>
      </c>
      <c r="AT33" s="12">
        <f>AVERAGE(Data!F149:G149)</f>
        <v>287</v>
      </c>
      <c r="AU33" s="12">
        <f>AVERAGE(Data!H151,Timeline!BB187)</f>
        <v>175</v>
      </c>
      <c r="AV33" s="12">
        <f>AVERAGE(Data!D150:G151,Data!D149:E149,Data!H150,Data!D148:I148,Data!K148:K149,Data!L149:L151,Data!M148:M149,Data!M150)</f>
        <v>4.375</v>
      </c>
      <c r="AW33" s="105">
        <f t="shared" si="56"/>
        <v>1</v>
      </c>
      <c r="AX33" s="105">
        <f t="shared" si="57"/>
        <v>3</v>
      </c>
      <c r="AY33" s="105">
        <f t="shared" si="58"/>
        <v>2</v>
      </c>
      <c r="AZ33" s="105">
        <f t="shared" si="59"/>
        <v>2</v>
      </c>
      <c r="BA33" s="32">
        <f t="shared" si="60"/>
        <v>26</v>
      </c>
      <c r="BB33" s="32">
        <f t="shared" si="61"/>
        <v>477</v>
      </c>
      <c r="BC33" s="32">
        <f t="shared" si="62"/>
        <v>1021.5</v>
      </c>
      <c r="BD33" s="32">
        <f t="shared" si="63"/>
        <v>574</v>
      </c>
      <c r="BE33" s="32">
        <f t="shared" si="64"/>
        <v>350</v>
      </c>
      <c r="BF33" s="32">
        <f t="shared" si="65"/>
        <v>113.75</v>
      </c>
      <c r="BG33" s="32">
        <f t="shared" si="28"/>
        <v>2463.051152176859</v>
      </c>
      <c r="BH33" s="105">
        <f t="shared" si="66"/>
        <v>2469</v>
      </c>
      <c r="BI33" s="83">
        <f t="shared" si="67"/>
        <v>-5.9488478231410227</v>
      </c>
      <c r="BJ33" s="105">
        <f t="shared" si="68"/>
        <v>12</v>
      </c>
      <c r="BK33" s="105">
        <v>22</v>
      </c>
      <c r="BL33" s="32">
        <f>BH33-(BJ33*Timeline!$AG$202)-(BK33*Timeline!$AK$202)</f>
        <v>2581.2256957896107</v>
      </c>
      <c r="BM33" s="83">
        <f t="shared" si="69"/>
        <v>112.22569578961065</v>
      </c>
      <c r="BN33" s="32">
        <f t="shared" si="33"/>
        <v>2185.6221577200872</v>
      </c>
      <c r="BO33" s="83">
        <f t="shared" si="70"/>
        <v>-283.37784227991278</v>
      </c>
      <c r="BP33" s="32">
        <f t="shared" si="71"/>
        <v>2536.5</v>
      </c>
      <c r="BQ33" s="83">
        <f t="shared" si="72"/>
        <v>67.5</v>
      </c>
      <c r="BR33" s="83">
        <f t="shared" si="37"/>
        <v>2551.7251980445858</v>
      </c>
      <c r="BS33" s="83">
        <f t="shared" si="73"/>
        <v>82.725198044585795</v>
      </c>
      <c r="BT33" s="32">
        <f t="shared" si="74"/>
        <v>1869.9079787584342</v>
      </c>
      <c r="BU33" s="83">
        <f t="shared" si="75"/>
        <v>-599.09202124156582</v>
      </c>
      <c r="BV33" s="32">
        <f>AVERAGE(Timeline!AV209:BA209)</f>
        <v>66.565780137951762</v>
      </c>
      <c r="BW33" s="32">
        <f t="shared" si="41"/>
        <v>1281.4275812574185</v>
      </c>
      <c r="BX33" s="83">
        <f t="shared" si="76"/>
        <v>-1187.5724187425815</v>
      </c>
    </row>
    <row r="34" spans="1:76" s="122" customFormat="1" x14ac:dyDescent="0.2">
      <c r="A34" s="122">
        <f t="shared" si="0"/>
        <v>27</v>
      </c>
      <c r="B34" s="149" t="str">
        <f t="shared" si="43"/>
        <v>Daniil Medvedev</v>
      </c>
      <c r="C34" s="149" t="s">
        <v>229</v>
      </c>
      <c r="D34" s="149" t="s">
        <v>230</v>
      </c>
      <c r="E34" s="122" t="s">
        <v>223</v>
      </c>
      <c r="F34" s="144">
        <f>VLOOKUP(B34&amp;"5",Data!A38:C272,3,FALSE)</f>
        <v>2872</v>
      </c>
      <c r="G34" s="122">
        <f t="shared" si="44"/>
        <v>64</v>
      </c>
      <c r="H34" s="122">
        <f t="shared" si="45"/>
        <v>24</v>
      </c>
      <c r="I34" s="45">
        <f t="shared" si="46"/>
        <v>0.72727272727272729</v>
      </c>
      <c r="J34" s="54">
        <f>MAX(Data!D178:Z181)</f>
        <v>406</v>
      </c>
      <c r="K34" s="54">
        <f>MAX(Data!D182:Z182)</f>
        <v>1132</v>
      </c>
      <c r="L34" s="46">
        <f t="shared" si="47"/>
        <v>40.090909090909093</v>
      </c>
      <c r="M34" s="12">
        <f t="shared" si="48"/>
        <v>410.28571428571428</v>
      </c>
      <c r="N34" s="12">
        <f t="shared" si="49"/>
        <v>114.88</v>
      </c>
      <c r="O34" s="12">
        <f t="shared" si="50"/>
        <v>44.875</v>
      </c>
      <c r="P34" s="32">
        <v>1996</v>
      </c>
      <c r="Q34" s="122">
        <f t="shared" ref="Q34:Q39" si="81">S34-R34+1</f>
        <v>7</v>
      </c>
      <c r="R34" s="122">
        <v>2017</v>
      </c>
      <c r="S34" s="122">
        <v>2023</v>
      </c>
      <c r="T34" s="32">
        <f>VLOOKUP($B34&amp;"1",Data!$A:$AB,27, FALSE)</f>
        <v>985</v>
      </c>
      <c r="U34" s="32">
        <f>VLOOKUP($B34&amp;"2",Data!$A:$AB,27, FALSE)</f>
        <v>173</v>
      </c>
      <c r="V34" s="32">
        <f>VLOOKUP($B34&amp;"3",Data!$A:$AB,27, FALSE)</f>
        <v>449</v>
      </c>
      <c r="W34" s="32">
        <f>VLOOKUP($B34&amp;"4",Data!$A:$AB,27, FALSE)</f>
        <v>1265</v>
      </c>
      <c r="X34" s="32">
        <f t="shared" si="10"/>
        <v>20</v>
      </c>
      <c r="Y34" s="32">
        <f t="shared" si="11"/>
        <v>41</v>
      </c>
      <c r="Z34" s="32">
        <f t="shared" si="12"/>
        <v>29</v>
      </c>
      <c r="AA34" s="32">
        <f t="shared" si="13"/>
        <v>23</v>
      </c>
      <c r="AB34" s="32">
        <f>VLOOKUP($B34&amp;"1",Data!$A:$AB,28, FALSE)</f>
        <v>8</v>
      </c>
      <c r="AC34" s="32">
        <f>VLOOKUP($B34&amp;"2",Data!$A:$AB,28, FALSE)</f>
        <v>8</v>
      </c>
      <c r="AD34" s="32">
        <f>VLOOKUP($B34&amp;"3",Data!$A:$AB,28, FALSE)</f>
        <v>5</v>
      </c>
      <c r="AE34" s="32">
        <f>VLOOKUP($B34&amp;"4",Data!$A:$AB,28, FALSE)</f>
        <v>7</v>
      </c>
      <c r="AF34" s="32">
        <f t="shared" si="80"/>
        <v>123.125</v>
      </c>
      <c r="AG34" s="32">
        <f t="shared" si="77"/>
        <v>21.625</v>
      </c>
      <c r="AH34" s="32">
        <f t="shared" si="78"/>
        <v>89.8</v>
      </c>
      <c r="AI34" s="32">
        <f t="shared" si="79"/>
        <v>180.71428571428572</v>
      </c>
      <c r="AJ34" s="122">
        <v>25</v>
      </c>
      <c r="AK34" s="122">
        <v>18</v>
      </c>
      <c r="AL34" s="122">
        <v>16</v>
      </c>
      <c r="AM34" s="122">
        <v>12</v>
      </c>
      <c r="AN34" s="122">
        <v>7</v>
      </c>
      <c r="AO34" s="122">
        <v>6</v>
      </c>
      <c r="AP34" s="122">
        <v>4</v>
      </c>
      <c r="AQ34" s="122">
        <v>1</v>
      </c>
      <c r="AR34" s="12">
        <f>AVERAGE(Timeline!BC193)</f>
        <v>404</v>
      </c>
      <c r="AS34" s="12">
        <f>AVERAGE(Timeline!BC190:BD190,Timeline!BA193)</f>
        <v>273.66666666666669</v>
      </c>
      <c r="AT34" s="12">
        <f>AVERAGE(Timeline!BB193,Data!J180)</f>
        <v>196.5</v>
      </c>
      <c r="AU34" s="12">
        <f>AVERAGE(Timeline!BC191)</f>
        <v>262</v>
      </c>
      <c r="AV34" s="12">
        <f>AVERAGE(Timeline!AY190:AZ193,Timeline!BA190:BB192,Timeline!BC192,Timeline!BD193,Timeline!BD191:BE191,Timeline!BE190)</f>
        <v>5</v>
      </c>
      <c r="AW34" s="122">
        <f t="shared" si="56"/>
        <v>1</v>
      </c>
      <c r="AX34" s="122">
        <f t="shared" si="57"/>
        <v>3</v>
      </c>
      <c r="AY34" s="122">
        <f t="shared" si="58"/>
        <v>2</v>
      </c>
      <c r="AZ34" s="122">
        <f t="shared" si="59"/>
        <v>1</v>
      </c>
      <c r="BA34" s="32">
        <f t="shared" si="60"/>
        <v>18</v>
      </c>
      <c r="BB34" s="32">
        <f t="shared" si="61"/>
        <v>404</v>
      </c>
      <c r="BC34" s="32">
        <f t="shared" si="62"/>
        <v>821</v>
      </c>
      <c r="BD34" s="32">
        <f t="shared" si="63"/>
        <v>393</v>
      </c>
      <c r="BE34" s="32">
        <f t="shared" si="64"/>
        <v>262</v>
      </c>
      <c r="BF34" s="32">
        <f t="shared" si="65"/>
        <v>90</v>
      </c>
      <c r="BG34" s="32">
        <f t="shared" si="28"/>
        <v>2255.2330567139475</v>
      </c>
      <c r="BH34" s="122">
        <f t="shared" si="66"/>
        <v>2872</v>
      </c>
      <c r="BI34" s="83">
        <f t="shared" si="67"/>
        <v>-616.76694328605254</v>
      </c>
      <c r="BJ34" s="122">
        <f t="shared" si="68"/>
        <v>1</v>
      </c>
      <c r="BK34" s="122">
        <v>24</v>
      </c>
      <c r="BL34" s="32">
        <f>BH34-(BJ34*Timeline!$AG$202)-(BK34*Timeline!$AK$202)</f>
        <v>2775.4074188838408</v>
      </c>
      <c r="BM34" s="83">
        <f t="shared" si="69"/>
        <v>-96.592581116159181</v>
      </c>
      <c r="BN34" s="32">
        <f t="shared" si="33"/>
        <v>2379.8038808143174</v>
      </c>
      <c r="BO34" s="83">
        <f t="shared" si="70"/>
        <v>-492.19611918568262</v>
      </c>
      <c r="BP34" s="32">
        <f t="shared" si="71"/>
        <v>1926</v>
      </c>
      <c r="BQ34" s="83">
        <f t="shared" si="72"/>
        <v>-946</v>
      </c>
      <c r="BR34" s="83">
        <f t="shared" si="37"/>
        <v>1941.2251980445858</v>
      </c>
      <c r="BS34" s="83">
        <f t="shared" si="73"/>
        <v>-930.7748019554142</v>
      </c>
      <c r="BT34" s="32">
        <f t="shared" si="74"/>
        <v>2670.1863608819026</v>
      </c>
      <c r="BU34" s="83">
        <f t="shared" si="75"/>
        <v>-201.8136391180974</v>
      </c>
      <c r="BV34" s="32">
        <f>AVERAGE(Timeline!AY209:BE209)</f>
        <v>33.635606519682902</v>
      </c>
      <c r="BW34" s="32">
        <f t="shared" si="41"/>
        <v>2081.7059633808867</v>
      </c>
      <c r="BX34" s="83">
        <f t="shared" si="76"/>
        <v>-790.29403661911329</v>
      </c>
    </row>
    <row r="35" spans="1:76" s="122" customFormat="1" x14ac:dyDescent="0.2">
      <c r="A35" s="122">
        <f t="shared" ref="A35:A51" si="82">RANK(F35,$F$3:$F$118)</f>
        <v>34</v>
      </c>
      <c r="B35" s="169" t="str">
        <f t="shared" si="43"/>
        <v>Michael Chang</v>
      </c>
      <c r="C35" s="122" t="s">
        <v>207</v>
      </c>
      <c r="D35" s="122" t="s">
        <v>208</v>
      </c>
      <c r="E35" s="122" t="s">
        <v>31</v>
      </c>
      <c r="F35" s="144">
        <f>VLOOKUP(B35&amp;"5",Data!A31:C265,3,FALSE)</f>
        <v>2302</v>
      </c>
      <c r="G35" s="122">
        <f t="shared" si="44"/>
        <v>120</v>
      </c>
      <c r="H35" s="122">
        <f t="shared" si="45"/>
        <v>56</v>
      </c>
      <c r="I35" s="45">
        <f t="shared" si="46"/>
        <v>0.68181818181818177</v>
      </c>
      <c r="J35" s="54">
        <f>MAX(Data!D143:Z146)</f>
        <v>389</v>
      </c>
      <c r="K35" s="54">
        <f>MAX(Data!D147:Z147)</f>
        <v>501</v>
      </c>
      <c r="L35" s="46">
        <f t="shared" si="47"/>
        <v>55.102272727272727</v>
      </c>
      <c r="M35" s="12">
        <f t="shared" si="48"/>
        <v>135.41176470588235</v>
      </c>
      <c r="N35" s="12">
        <f t="shared" si="49"/>
        <v>40.385964912280699</v>
      </c>
      <c r="O35" s="12">
        <f t="shared" si="50"/>
        <v>19.183333333333334</v>
      </c>
      <c r="P35" s="32">
        <v>1972</v>
      </c>
      <c r="Q35" s="122">
        <f t="shared" si="81"/>
        <v>17</v>
      </c>
      <c r="R35" s="122">
        <v>1987</v>
      </c>
      <c r="S35" s="122">
        <v>2003</v>
      </c>
      <c r="T35" s="32">
        <f>VLOOKUP($B35&amp;"1",Data!$A:$AB,27, FALSE)</f>
        <v>525</v>
      </c>
      <c r="U35" s="32">
        <f>VLOOKUP($B35&amp;"2",Data!$A:$AB,27, FALSE)</f>
        <v>775</v>
      </c>
      <c r="V35" s="32">
        <f>VLOOKUP($B35&amp;"3",Data!$A:$AB,27, FALSE)</f>
        <v>-95</v>
      </c>
      <c r="W35" s="32">
        <f>VLOOKUP($B35&amp;"4",Data!$A:$AB,27, FALSE)</f>
        <v>1097</v>
      </c>
      <c r="X35" s="32">
        <f t="shared" ref="X35:X51" si="83">RANK(T35,T$3:T$118)</f>
        <v>28</v>
      </c>
      <c r="Y35" s="32">
        <f t="shared" ref="Y35:Y51" si="84">RANK(U35,U$3:U$118)</f>
        <v>28</v>
      </c>
      <c r="Z35" s="32">
        <f t="shared" ref="Z35:Z51" si="85">RANK(V35,V$3:V$118)</f>
        <v>43</v>
      </c>
      <c r="AA35" s="32">
        <f t="shared" ref="AA35:AA51" si="86">RANK(W35,W$3:W$118)</f>
        <v>24</v>
      </c>
      <c r="AB35" s="32">
        <f>VLOOKUP($B35&amp;"1",Data!$A:$AB,28, FALSE)</f>
        <v>10</v>
      </c>
      <c r="AC35" s="32">
        <f>VLOOKUP($B35&amp;"2",Data!$A:$AB,28, FALSE)</f>
        <v>16</v>
      </c>
      <c r="AD35" s="32">
        <f>VLOOKUP($B35&amp;"3",Data!$A:$AB,28, FALSE)</f>
        <v>14</v>
      </c>
      <c r="AE35" s="32">
        <f>VLOOKUP($B35&amp;"4",Data!$A:$AB,28, FALSE)</f>
        <v>17</v>
      </c>
      <c r="AF35" s="32">
        <f t="shared" si="80"/>
        <v>52.5</v>
      </c>
      <c r="AG35" s="32">
        <f t="shared" si="77"/>
        <v>48.4375</v>
      </c>
      <c r="AH35" s="32">
        <f t="shared" si="78"/>
        <v>-6.7857142857142856</v>
      </c>
      <c r="AI35" s="32">
        <f t="shared" si="79"/>
        <v>64.529411764705884</v>
      </c>
      <c r="AJ35" s="122">
        <v>57</v>
      </c>
      <c r="AK35" s="122">
        <v>45</v>
      </c>
      <c r="AL35" s="122">
        <v>29</v>
      </c>
      <c r="AM35" s="122">
        <v>20</v>
      </c>
      <c r="AN35" s="122">
        <v>13</v>
      </c>
      <c r="AO35" s="122">
        <v>8</v>
      </c>
      <c r="AP35" s="122">
        <v>4</v>
      </c>
      <c r="AQ35" s="122">
        <v>1</v>
      </c>
      <c r="AR35" s="12">
        <f>AVERAGE(Data!F144)</f>
        <v>389</v>
      </c>
      <c r="AS35" s="12">
        <f>AVERAGE(Data!M146,Data!L144,Data!M143)</f>
        <v>247.33333333333334</v>
      </c>
      <c r="AT35" s="12">
        <f>AVERAGE(Data!I146,Data!L143,Data!N143,Data!N146)</f>
        <v>235.5</v>
      </c>
      <c r="AU35" s="12">
        <f>AVERAGE(Data!G144:H144,Data!J146,Data!K145,Data!L146)</f>
        <v>133.6</v>
      </c>
      <c r="AV35" s="12">
        <f>AVERAGE(Data!D146,Data!E144:E146,Data!F145:H146,Data!I143:J145,Data!K144,Data!K146,Data!L145,Data!M144:O145,Data!O143:S143,Data!O146:T146,Data!P144:T144,Data!Q145:S145)</f>
        <v>-9.9772727272727266</v>
      </c>
      <c r="AW35" s="122">
        <f t="shared" si="56"/>
        <v>1</v>
      </c>
      <c r="AX35" s="122">
        <f t="shared" si="57"/>
        <v>3</v>
      </c>
      <c r="AY35" s="122">
        <f t="shared" si="58"/>
        <v>4</v>
      </c>
      <c r="AZ35" s="122">
        <f t="shared" si="59"/>
        <v>5</v>
      </c>
      <c r="BA35" s="32">
        <f t="shared" si="60"/>
        <v>44</v>
      </c>
      <c r="BB35" s="32">
        <f t="shared" si="61"/>
        <v>389</v>
      </c>
      <c r="BC35" s="32">
        <f t="shared" si="62"/>
        <v>742</v>
      </c>
      <c r="BD35" s="32">
        <f t="shared" si="63"/>
        <v>942</v>
      </c>
      <c r="BE35" s="32">
        <f t="shared" si="64"/>
        <v>668</v>
      </c>
      <c r="BF35" s="32">
        <f t="shared" si="65"/>
        <v>-439</v>
      </c>
      <c r="BG35" s="32">
        <f t="shared" ref="BG35:BG51" si="87">($BB$54*AW35)+($BC$54*AX35)+($BD$54*AY35)+($BE$54*AZ35)+($BF$54*BA35)</f>
        <v>3519.9627526738354</v>
      </c>
      <c r="BH35" s="122">
        <f t="shared" si="66"/>
        <v>2302</v>
      </c>
      <c r="BI35" s="83">
        <f t="shared" si="67"/>
        <v>1217.9627526738354</v>
      </c>
      <c r="BJ35" s="122">
        <f t="shared" si="68"/>
        <v>49</v>
      </c>
      <c r="BK35" s="122">
        <v>8</v>
      </c>
      <c r="BL35" s="32">
        <f>BH35-(BJ35*Timeline!$AG$202)-(BK35*Timeline!$AK$202)</f>
        <v>3151.3741629260667</v>
      </c>
      <c r="BM35" s="83">
        <f t="shared" si="69"/>
        <v>849.37416292606667</v>
      </c>
      <c r="BN35" s="32">
        <f t="shared" ref="BN35:BN51" si="88">BL35-$BM$53</f>
        <v>2755.7706248565432</v>
      </c>
      <c r="BO35" s="83">
        <f t="shared" si="70"/>
        <v>453.77062485654324</v>
      </c>
      <c r="BP35" s="32">
        <f t="shared" si="71"/>
        <v>2359</v>
      </c>
      <c r="BQ35" s="83">
        <f t="shared" si="72"/>
        <v>57</v>
      </c>
      <c r="BR35" s="83">
        <f t="shared" ref="BR35:BR51" si="89">BP35-$BQ$53</f>
        <v>2374.2251980445858</v>
      </c>
      <c r="BS35" s="83">
        <f t="shared" si="73"/>
        <v>72.225198044585795</v>
      </c>
      <c r="BT35" s="32">
        <f t="shared" si="74"/>
        <v>3741.6126731572431</v>
      </c>
      <c r="BU35" s="83">
        <f t="shared" si="75"/>
        <v>1439.6126731572431</v>
      </c>
      <c r="BV35" s="32">
        <f>AVERAGE(Timeline!U209:AK209)</f>
        <v>-89.975792072327707</v>
      </c>
      <c r="BW35" s="32">
        <f t="shared" ref="BW35:BW51" si="90">BT35-$BU$53</f>
        <v>3153.1322756562276</v>
      </c>
      <c r="BX35" s="83">
        <f t="shared" si="76"/>
        <v>851.13227565622765</v>
      </c>
    </row>
    <row r="36" spans="1:76" s="131" customFormat="1" x14ac:dyDescent="0.2">
      <c r="A36" s="131">
        <f t="shared" si="82"/>
        <v>36</v>
      </c>
      <c r="B36" s="178" t="str">
        <f t="shared" si="43"/>
        <v>Vitas Gerulaitis</v>
      </c>
      <c r="C36" s="178" t="s">
        <v>252</v>
      </c>
      <c r="D36" s="178" t="s">
        <v>253</v>
      </c>
      <c r="E36" s="131" t="s">
        <v>31</v>
      </c>
      <c r="F36" s="144">
        <f>VLOOKUP(B36&amp;"5",Data!A36:C270,3,FALSE)</f>
        <v>2094</v>
      </c>
      <c r="G36" s="131">
        <f t="shared" si="44"/>
        <v>88</v>
      </c>
      <c r="H36" s="131">
        <f t="shared" si="45"/>
        <v>37</v>
      </c>
      <c r="I36" s="45">
        <f t="shared" si="46"/>
        <v>0.70399999999999996</v>
      </c>
      <c r="J36" s="54">
        <f>MAX(Data!D218:Z221)</f>
        <v>390</v>
      </c>
      <c r="K36" s="54">
        <f>MAX(Data!D222:Z222)</f>
        <v>652</v>
      </c>
      <c r="L36" s="46">
        <f t="shared" si="47"/>
        <v>53.648000000000003</v>
      </c>
      <c r="M36" s="12">
        <f t="shared" si="48"/>
        <v>139.6</v>
      </c>
      <c r="N36" s="12">
        <f t="shared" si="49"/>
        <v>55.10526315789474</v>
      </c>
      <c r="O36" s="12">
        <f t="shared" si="50"/>
        <v>23.795454545454547</v>
      </c>
      <c r="P36" s="32">
        <v>1954</v>
      </c>
      <c r="Q36" s="131">
        <f t="shared" si="81"/>
        <v>15</v>
      </c>
      <c r="R36" s="131">
        <v>1971</v>
      </c>
      <c r="S36" s="131">
        <v>1985</v>
      </c>
      <c r="T36" s="32">
        <f>VLOOKUP($B36&amp;"1",Data!$A:$AB,27, FALSE)</f>
        <v>-9</v>
      </c>
      <c r="U36" s="32">
        <f>VLOOKUP($B36&amp;"2",Data!$A:$AB,27, FALSE)</f>
        <v>440</v>
      </c>
      <c r="V36" s="32">
        <f>VLOOKUP($B36&amp;"3",Data!$A:$AB,27, FALSE)</f>
        <v>866</v>
      </c>
      <c r="W36" s="32">
        <f>VLOOKUP($B36&amp;"4",Data!$A:$AB,27, FALSE)</f>
        <v>797</v>
      </c>
      <c r="X36" s="32">
        <f t="shared" si="83"/>
        <v>44</v>
      </c>
      <c r="Y36" s="32">
        <f t="shared" si="84"/>
        <v>40</v>
      </c>
      <c r="Z36" s="32">
        <f t="shared" si="85"/>
        <v>22</v>
      </c>
      <c r="AA36" s="32">
        <f t="shared" si="86"/>
        <v>35</v>
      </c>
      <c r="AB36" s="32">
        <f>VLOOKUP($B36&amp;"1",Data!$A:$AB,28, FALSE)</f>
        <v>4</v>
      </c>
      <c r="AC36" s="32">
        <f>VLOOKUP($B36&amp;"2",Data!$A:$AB,28, FALSE)</f>
        <v>7</v>
      </c>
      <c r="AD36" s="32">
        <f>VLOOKUP($B36&amp;"3",Data!$A:$AB,28, FALSE)</f>
        <v>12</v>
      </c>
      <c r="AE36" s="32">
        <f>VLOOKUP($B36&amp;"4",Data!$A:$AB,28, FALSE)</f>
        <v>15</v>
      </c>
      <c r="AF36" s="32">
        <f t="shared" si="80"/>
        <v>-2.25</v>
      </c>
      <c r="AG36" s="32">
        <f t="shared" si="77"/>
        <v>62.857142857142854</v>
      </c>
      <c r="AH36" s="32">
        <f t="shared" si="78"/>
        <v>72.166666666666671</v>
      </c>
      <c r="AI36" s="32">
        <f t="shared" si="79"/>
        <v>53.133333333333333</v>
      </c>
      <c r="AJ36" s="131">
        <v>38</v>
      </c>
      <c r="AK36" s="131">
        <v>28</v>
      </c>
      <c r="AL36" s="131">
        <v>20</v>
      </c>
      <c r="AM36" s="131">
        <v>17</v>
      </c>
      <c r="AN36" s="131">
        <v>11</v>
      </c>
      <c r="AO36" s="131">
        <v>8</v>
      </c>
      <c r="AP36" s="131">
        <v>3</v>
      </c>
      <c r="AQ36" s="131">
        <v>1</v>
      </c>
      <c r="AR36" s="12">
        <f>AVERAGE(Data!J218)</f>
        <v>218</v>
      </c>
      <c r="AS36" s="12">
        <f>AVERAGE(Data!M219,Data!L221)</f>
        <v>318.5</v>
      </c>
      <c r="AT36" s="12">
        <f>AVERAGE(Data!J220,Data!K220:K221,Data!L219,Data!N221)</f>
        <v>240.2</v>
      </c>
      <c r="AU36" s="12">
        <f>AVERAGE(Data!O219:O220,Data!I220)</f>
        <v>155.33333333333334</v>
      </c>
      <c r="AV36" s="12">
        <f>AVERAGE(Data!D221:J221,Data!G220:H220,Data!L220:N220,Data!M221,Data!N219,Data!M218,Data!O221:R221,Data!P218:R220)</f>
        <v>-15.851851851851851</v>
      </c>
      <c r="AW36" s="131">
        <f t="shared" si="56"/>
        <v>1</v>
      </c>
      <c r="AX36" s="131">
        <f t="shared" si="57"/>
        <v>2</v>
      </c>
      <c r="AY36" s="131">
        <f t="shared" si="58"/>
        <v>5</v>
      </c>
      <c r="AZ36" s="131">
        <f t="shared" si="59"/>
        <v>3</v>
      </c>
      <c r="BA36" s="32">
        <f t="shared" si="60"/>
        <v>27</v>
      </c>
      <c r="BB36" s="32">
        <f t="shared" si="61"/>
        <v>218</v>
      </c>
      <c r="BC36" s="32">
        <f t="shared" si="62"/>
        <v>637</v>
      </c>
      <c r="BD36" s="32">
        <f t="shared" si="63"/>
        <v>1201</v>
      </c>
      <c r="BE36" s="32">
        <f t="shared" si="64"/>
        <v>466</v>
      </c>
      <c r="BF36" s="32">
        <f t="shared" si="65"/>
        <v>-428</v>
      </c>
      <c r="BG36" s="32">
        <f t="shared" si="87"/>
        <v>2984.8493843551291</v>
      </c>
      <c r="BH36" s="131">
        <f t="shared" si="66"/>
        <v>2094</v>
      </c>
      <c r="BI36" s="83">
        <f t="shared" si="67"/>
        <v>890.84938435512913</v>
      </c>
      <c r="BJ36" s="131">
        <f t="shared" si="68"/>
        <v>38</v>
      </c>
      <c r="BK36" s="131">
        <v>0</v>
      </c>
      <c r="BL36" s="32">
        <f>BH36-(BJ36*Timeline!$AG$202)-(BK36*Timeline!$AK$202)</f>
        <v>2782.3504976437375</v>
      </c>
      <c r="BM36" s="83">
        <f t="shared" si="69"/>
        <v>688.35049764373753</v>
      </c>
      <c r="BN36" s="32">
        <f t="shared" si="88"/>
        <v>2386.7469595742141</v>
      </c>
      <c r="BO36" s="83">
        <f t="shared" si="70"/>
        <v>292.74695957421409</v>
      </c>
      <c r="BP36" s="32">
        <f t="shared" si="71"/>
        <v>2496</v>
      </c>
      <c r="BQ36" s="83">
        <f t="shared" si="72"/>
        <v>402</v>
      </c>
      <c r="BR36" s="83">
        <f t="shared" si="89"/>
        <v>2511.2251980445858</v>
      </c>
      <c r="BS36" s="83">
        <f t="shared" si="73"/>
        <v>417.2251980445858</v>
      </c>
      <c r="BT36" s="32">
        <f t="shared" si="74"/>
        <v>3045.2635225131198</v>
      </c>
      <c r="BU36" s="83">
        <f t="shared" si="75"/>
        <v>951.26352251311982</v>
      </c>
      <c r="BV36" s="32">
        <f>AVERAGE(Timeline!E209:S209)</f>
        <v>-67.947394465222857</v>
      </c>
      <c r="BW36" s="32">
        <f t="shared" si="90"/>
        <v>2456.7831250121044</v>
      </c>
      <c r="BX36" s="83">
        <f t="shared" si="76"/>
        <v>362.78312501210439</v>
      </c>
    </row>
    <row r="37" spans="1:76" s="131" customFormat="1" x14ac:dyDescent="0.2">
      <c r="A37" s="131">
        <f t="shared" si="82"/>
        <v>32</v>
      </c>
      <c r="B37" s="149" t="str">
        <f t="shared" si="43"/>
        <v>Carlos Alcaraz</v>
      </c>
      <c r="C37" s="149" t="s">
        <v>232</v>
      </c>
      <c r="D37" s="149" t="s">
        <v>233</v>
      </c>
      <c r="E37" s="131" t="s">
        <v>30</v>
      </c>
      <c r="F37" s="144">
        <f>VLOOKUP(B37&amp;"5",Data!A37:C271,3,FALSE)</f>
        <v>2637</v>
      </c>
      <c r="G37" s="131">
        <f t="shared" si="44"/>
        <v>36</v>
      </c>
      <c r="H37" s="131">
        <f t="shared" si="45"/>
        <v>8</v>
      </c>
      <c r="I37" s="45">
        <f t="shared" si="46"/>
        <v>0.81818181818181823</v>
      </c>
      <c r="J37" s="54">
        <f>MAX(Data!D183:Z186)</f>
        <v>539</v>
      </c>
      <c r="K37" s="54">
        <f>MAX(Data!D187:Z187)</f>
        <v>1008</v>
      </c>
      <c r="L37" s="46">
        <f t="shared" si="47"/>
        <v>21.88636363636364</v>
      </c>
      <c r="M37" s="12">
        <f t="shared" si="48"/>
        <v>879</v>
      </c>
      <c r="N37" s="12">
        <f t="shared" si="49"/>
        <v>263.7</v>
      </c>
      <c r="O37" s="12">
        <f t="shared" si="50"/>
        <v>73.25</v>
      </c>
      <c r="P37" s="32">
        <v>2003</v>
      </c>
      <c r="Q37" s="131">
        <f t="shared" si="81"/>
        <v>3</v>
      </c>
      <c r="R37" s="131">
        <v>2021</v>
      </c>
      <c r="S37" s="131">
        <v>2023</v>
      </c>
      <c r="T37" s="32">
        <f>VLOOKUP($B37&amp;"1",Data!$A:$AB,27, FALSE)</f>
        <v>62</v>
      </c>
      <c r="U37" s="32">
        <f>VLOOKUP($B37&amp;"2",Data!$A:$AB,27, FALSE)</f>
        <v>1007</v>
      </c>
      <c r="V37" s="32">
        <f>VLOOKUP($B37&amp;"3",Data!$A:$AB,27, FALSE)</f>
        <v>598</v>
      </c>
      <c r="W37" s="32">
        <f>VLOOKUP($B37&amp;"4",Data!$A:$AB,27, FALSE)</f>
        <v>970</v>
      </c>
      <c r="X37" s="32">
        <f t="shared" si="83"/>
        <v>39</v>
      </c>
      <c r="Y37" s="32">
        <f t="shared" si="84"/>
        <v>20</v>
      </c>
      <c r="Z37" s="32">
        <f t="shared" si="85"/>
        <v>28</v>
      </c>
      <c r="AA37" s="32">
        <f t="shared" si="86"/>
        <v>29</v>
      </c>
      <c r="AB37" s="32">
        <f>VLOOKUP($B37&amp;"1",Data!$A:$AB,28, FALSE)</f>
        <v>3</v>
      </c>
      <c r="AC37" s="32">
        <f>VLOOKUP($B37&amp;"2",Data!$A:$AB,28, FALSE)</f>
        <v>4</v>
      </c>
      <c r="AD37" s="32">
        <f>VLOOKUP($B37&amp;"3",Data!$A:$AB,28, FALSE)</f>
        <v>3</v>
      </c>
      <c r="AE37" s="32">
        <f>VLOOKUP($B37&amp;"4",Data!$A:$AB,28, FALSE)</f>
        <v>3</v>
      </c>
      <c r="AF37" s="32">
        <f t="shared" si="80"/>
        <v>20.666666666666668</v>
      </c>
      <c r="AG37" s="32">
        <f t="shared" si="77"/>
        <v>251.75</v>
      </c>
      <c r="AH37" s="32">
        <f t="shared" si="78"/>
        <v>199.33333333333334</v>
      </c>
      <c r="AI37" s="32">
        <f t="shared" si="79"/>
        <v>323.33333333333331</v>
      </c>
      <c r="AJ37" s="131">
        <v>10</v>
      </c>
      <c r="AK37" s="131">
        <v>10</v>
      </c>
      <c r="AL37" s="131">
        <v>8</v>
      </c>
      <c r="AM37" s="131">
        <v>6</v>
      </c>
      <c r="AN37" s="131">
        <v>5</v>
      </c>
      <c r="AO37" s="131">
        <v>3</v>
      </c>
      <c r="AP37" s="131">
        <v>2</v>
      </c>
      <c r="AQ37" s="131">
        <v>2</v>
      </c>
      <c r="AR37" s="12">
        <f>AVERAGE(Timeline!BD197,Data!F185)</f>
        <v>516</v>
      </c>
      <c r="AS37" s="12"/>
      <c r="AT37" s="12">
        <f>AVERAGE(Timeline!BE195)</f>
        <v>271</v>
      </c>
      <c r="AU37" s="12">
        <f>AVERAGE(Timeline!BD195,Timeline!BC197)</f>
        <v>201.5</v>
      </c>
      <c r="AV37" s="12">
        <f>AVERAGE(Timeline!BC194:BC196,Timeline!BD196,Timeline!BD194)</f>
        <v>19.600000000000001</v>
      </c>
      <c r="AW37" s="131">
        <f t="shared" si="56"/>
        <v>2</v>
      </c>
      <c r="AX37" s="131">
        <f t="shared" si="57"/>
        <v>0</v>
      </c>
      <c r="AY37" s="131">
        <f t="shared" si="58"/>
        <v>1</v>
      </c>
      <c r="AZ37" s="131">
        <f t="shared" si="59"/>
        <v>2</v>
      </c>
      <c r="BA37" s="32">
        <f t="shared" si="60"/>
        <v>5</v>
      </c>
      <c r="BB37" s="32">
        <f t="shared" si="61"/>
        <v>1032</v>
      </c>
      <c r="BC37" s="32">
        <f t="shared" si="62"/>
        <v>0</v>
      </c>
      <c r="BD37" s="32">
        <f t="shared" si="63"/>
        <v>271</v>
      </c>
      <c r="BE37" s="32">
        <f t="shared" si="64"/>
        <v>403</v>
      </c>
      <c r="BF37" s="32">
        <f t="shared" si="65"/>
        <v>98</v>
      </c>
      <c r="BG37" s="32">
        <f t="shared" si="87"/>
        <v>1498.4448932211255</v>
      </c>
      <c r="BH37" s="131">
        <f t="shared" si="66"/>
        <v>2637</v>
      </c>
      <c r="BI37" s="83">
        <f t="shared" si="67"/>
        <v>-1138.5551067788745</v>
      </c>
      <c r="BJ37" s="131">
        <f t="shared" si="68"/>
        <v>1</v>
      </c>
      <c r="BK37" s="131">
        <v>9</v>
      </c>
      <c r="BL37" s="32">
        <f>BH37-(BJ37*Timeline!$AG$202)-(BK37*Timeline!$AK$202)</f>
        <v>2612.0993363190018</v>
      </c>
      <c r="BM37" s="83">
        <f t="shared" si="69"/>
        <v>-24.90066368099815</v>
      </c>
      <c r="BN37" s="32">
        <f t="shared" si="88"/>
        <v>2216.4957982494784</v>
      </c>
      <c r="BO37" s="83">
        <f t="shared" si="70"/>
        <v>-420.50420175052159</v>
      </c>
      <c r="BP37" s="32">
        <f t="shared" si="71"/>
        <v>1698</v>
      </c>
      <c r="BQ37" s="83">
        <f t="shared" si="72"/>
        <v>-939</v>
      </c>
      <c r="BR37" s="83">
        <f t="shared" si="89"/>
        <v>1713.2251980445858</v>
      </c>
      <c r="BS37" s="83">
        <f t="shared" si="73"/>
        <v>-923.7748019554142</v>
      </c>
      <c r="BT37" s="32">
        <f t="shared" si="74"/>
        <v>2603.037292270727</v>
      </c>
      <c r="BU37" s="83">
        <f t="shared" si="75"/>
        <v>-33.962707729273006</v>
      </c>
      <c r="BV37" s="32">
        <f>AVERAGE(Timeline!BC209:BE209)</f>
        <v>16.981353864636599</v>
      </c>
      <c r="BW37" s="32">
        <f t="shared" si="90"/>
        <v>2014.5568947697113</v>
      </c>
      <c r="BX37" s="83">
        <f t="shared" si="76"/>
        <v>-622.44310523028867</v>
      </c>
    </row>
    <row r="38" spans="1:76" s="137" customFormat="1" x14ac:dyDescent="0.2">
      <c r="A38" s="137">
        <f t="shared" si="82"/>
        <v>37</v>
      </c>
      <c r="B38" s="178" t="str">
        <f t="shared" si="43"/>
        <v>Pat Rafter</v>
      </c>
      <c r="C38" s="178" t="s">
        <v>226</v>
      </c>
      <c r="D38" s="178" t="s">
        <v>227</v>
      </c>
      <c r="E38" s="137" t="s">
        <v>147</v>
      </c>
      <c r="F38" s="144">
        <f>VLOOKUP(B38&amp;"5",Data!A40:C274,3,FALSE)</f>
        <v>1860</v>
      </c>
      <c r="G38" s="137">
        <f t="shared" si="44"/>
        <v>76</v>
      </c>
      <c r="H38" s="137">
        <f t="shared" si="45"/>
        <v>33</v>
      </c>
      <c r="I38" s="45">
        <f t="shared" si="46"/>
        <v>0.69724770642201839</v>
      </c>
      <c r="J38" s="54">
        <f>MAX(Data!D173:Z176)</f>
        <v>459</v>
      </c>
      <c r="K38" s="54">
        <f>MAX(Data!D177:Z177)</f>
        <v>517</v>
      </c>
      <c r="L38" s="46">
        <f t="shared" si="47"/>
        <v>52.660550458715598</v>
      </c>
      <c r="M38" s="12">
        <f t="shared" si="48"/>
        <v>186</v>
      </c>
      <c r="N38" s="12">
        <f t="shared" si="49"/>
        <v>53.142857142857146</v>
      </c>
      <c r="O38" s="12">
        <f t="shared" si="50"/>
        <v>24.473684210526315</v>
      </c>
      <c r="P38" s="32">
        <v>1972</v>
      </c>
      <c r="Q38" s="137">
        <f t="shared" si="81"/>
        <v>10</v>
      </c>
      <c r="R38" s="137">
        <v>1992</v>
      </c>
      <c r="S38" s="137">
        <v>2001</v>
      </c>
      <c r="T38" s="32">
        <f>VLOOKUP($B38&amp;"1",Data!$A:$AB,27, FALSE)</f>
        <v>165</v>
      </c>
      <c r="U38" s="32">
        <f>VLOOKUP($B38&amp;"2",Data!$A:$AB,27, FALSE)</f>
        <v>38</v>
      </c>
      <c r="V38" s="32">
        <f>VLOOKUP($B38&amp;"3",Data!$A:$AB,27, FALSE)</f>
        <v>843</v>
      </c>
      <c r="W38" s="32">
        <f>VLOOKUP($B38&amp;"4",Data!$A:$AB,27, FALSE)</f>
        <v>814</v>
      </c>
      <c r="X38" s="32">
        <f t="shared" si="83"/>
        <v>36</v>
      </c>
      <c r="Y38" s="32">
        <f t="shared" si="84"/>
        <v>44</v>
      </c>
      <c r="Z38" s="32">
        <f t="shared" si="85"/>
        <v>24</v>
      </c>
      <c r="AA38" s="32">
        <f t="shared" si="86"/>
        <v>34</v>
      </c>
      <c r="AB38" s="32">
        <f>VLOOKUP($B38&amp;"1",Data!$A:$AB,28, FALSE)</f>
        <v>9</v>
      </c>
      <c r="AC38" s="32">
        <f>VLOOKUP($B38&amp;"2",Data!$A:$AB,28, FALSE)</f>
        <v>8</v>
      </c>
      <c r="AD38" s="32">
        <f>VLOOKUP($B38&amp;"3",Data!$A:$AB,28, FALSE)</f>
        <v>9</v>
      </c>
      <c r="AE38" s="32">
        <f>VLOOKUP($B38&amp;"4",Data!$A:$AB,28, FALSE)</f>
        <v>9</v>
      </c>
      <c r="AF38" s="32">
        <f t="shared" si="80"/>
        <v>18.333333333333332</v>
      </c>
      <c r="AG38" s="32">
        <f t="shared" si="77"/>
        <v>4.75</v>
      </c>
      <c r="AH38" s="32">
        <f t="shared" si="78"/>
        <v>93.666666666666671</v>
      </c>
      <c r="AI38" s="32">
        <f t="shared" si="79"/>
        <v>90.444444444444443</v>
      </c>
      <c r="AJ38" s="137">
        <v>35</v>
      </c>
      <c r="AK38" s="137">
        <v>24</v>
      </c>
      <c r="AL38" s="137">
        <v>19</v>
      </c>
      <c r="AM38" s="137">
        <v>13</v>
      </c>
      <c r="AN38" s="137">
        <v>7</v>
      </c>
      <c r="AO38" s="137">
        <v>7</v>
      </c>
      <c r="AP38" s="137">
        <v>4</v>
      </c>
      <c r="AQ38" s="137">
        <v>2</v>
      </c>
      <c r="AR38" s="12">
        <f>AVERAGE(Timeline!AE133:AF133)</f>
        <v>455</v>
      </c>
      <c r="AS38" s="12">
        <f>AVERAGE(Timeline!AH132:AI132)</f>
        <v>207.5</v>
      </c>
      <c r="AT38" s="12">
        <f>AVERAGE(Timeline!AE131,Timeline!AG132,Timeline!AI130)</f>
        <v>199.33333333333334</v>
      </c>
      <c r="AU38" s="12"/>
      <c r="AV38" s="12">
        <f>AVERAGE(Timeline!Z130:AD133,Timeline!AE130:AG130,Timeline!AE132:AF132,Timeline!AF131:AI131,Timeline!AG133:AI133)</f>
        <v>-2.25</v>
      </c>
      <c r="AW38" s="137">
        <f t="shared" si="56"/>
        <v>2</v>
      </c>
      <c r="AX38" s="137">
        <f t="shared" si="57"/>
        <v>2</v>
      </c>
      <c r="AY38" s="137">
        <f t="shared" si="58"/>
        <v>3</v>
      </c>
      <c r="AZ38" s="137">
        <f t="shared" si="59"/>
        <v>0</v>
      </c>
      <c r="BA38" s="32">
        <f t="shared" si="60"/>
        <v>28</v>
      </c>
      <c r="BB38" s="32">
        <f t="shared" si="61"/>
        <v>910</v>
      </c>
      <c r="BC38" s="32">
        <f t="shared" si="62"/>
        <v>415</v>
      </c>
      <c r="BD38" s="32">
        <f t="shared" si="63"/>
        <v>598</v>
      </c>
      <c r="BE38" s="32">
        <f t="shared" si="64"/>
        <v>0</v>
      </c>
      <c r="BF38" s="32">
        <f t="shared" si="65"/>
        <v>-63</v>
      </c>
      <c r="BG38" s="32">
        <f t="shared" si="87"/>
        <v>2513.3971444467188</v>
      </c>
      <c r="BH38" s="137">
        <f t="shared" si="66"/>
        <v>1860</v>
      </c>
      <c r="BI38" s="83">
        <f t="shared" si="67"/>
        <v>653.39714444671881</v>
      </c>
      <c r="BJ38" s="137">
        <f t="shared" si="68"/>
        <v>10</v>
      </c>
      <c r="BK38" s="137">
        <f>AJ38-COUNT(Timeline!D143:AH146)-2</f>
        <v>25</v>
      </c>
      <c r="BL38" s="32">
        <f>BH38-(BJ38*Timeline!$AG$202)-(BK38*Timeline!$AK$202)</f>
        <v>1921.6583387423818</v>
      </c>
      <c r="BM38" s="83">
        <f t="shared" si="69"/>
        <v>61.658338742381829</v>
      </c>
      <c r="BN38" s="32">
        <f t="shared" si="88"/>
        <v>1526.0548006728582</v>
      </c>
      <c r="BO38" s="83">
        <f t="shared" si="70"/>
        <v>-333.94519932714184</v>
      </c>
      <c r="BP38" s="32">
        <f t="shared" si="71"/>
        <v>1777</v>
      </c>
      <c r="BQ38" s="83">
        <f t="shared" si="72"/>
        <v>-83</v>
      </c>
      <c r="BR38" s="83">
        <f t="shared" si="89"/>
        <v>1792.2251980445858</v>
      </c>
      <c r="BS38" s="83">
        <f t="shared" si="73"/>
        <v>-67.774801955414205</v>
      </c>
      <c r="BT38" s="32">
        <f t="shared" si="74"/>
        <v>2716.1652545059424</v>
      </c>
      <c r="BU38" s="83">
        <f t="shared" si="75"/>
        <v>856.16525450594236</v>
      </c>
      <c r="BV38" s="32">
        <f>AVERAGE(Timeline!Z209:AI209)</f>
        <v>-95.129472722882497</v>
      </c>
      <c r="BW38" s="32">
        <f t="shared" si="90"/>
        <v>2127.6848570049269</v>
      </c>
      <c r="BX38" s="83">
        <f t="shared" si="76"/>
        <v>267.68485700492693</v>
      </c>
    </row>
    <row r="39" spans="1:76" s="134" customFormat="1" x14ac:dyDescent="0.2">
      <c r="A39" s="134">
        <f t="shared" si="82"/>
        <v>38</v>
      </c>
      <c r="B39" s="144" t="str">
        <f t="shared" si="43"/>
        <v>Yannick Noah</v>
      </c>
      <c r="C39" s="134" t="s">
        <v>256</v>
      </c>
      <c r="D39" s="134" t="s">
        <v>257</v>
      </c>
      <c r="E39" s="134" t="s">
        <v>258</v>
      </c>
      <c r="F39" s="144">
        <f>VLOOKUP(B39&amp;"5",Data!A36:C270,3,FALSE)</f>
        <v>1636</v>
      </c>
      <c r="G39" s="137">
        <f t="shared" si="44"/>
        <v>86</v>
      </c>
      <c r="H39" s="137">
        <f t="shared" si="45"/>
        <v>36</v>
      </c>
      <c r="I39" s="45">
        <f t="shared" si="46"/>
        <v>0.70491803278688525</v>
      </c>
      <c r="J39" s="54">
        <f>MAX(Data!D228:Z231)</f>
        <v>410</v>
      </c>
      <c r="K39" s="54">
        <f>MAX(Data!D232:Z232)</f>
        <v>452</v>
      </c>
      <c r="L39" s="46">
        <f t="shared" si="47"/>
        <v>57.081967213114751</v>
      </c>
      <c r="M39" s="12">
        <f t="shared" si="48"/>
        <v>116.85714285714286</v>
      </c>
      <c r="N39" s="12">
        <f t="shared" si="49"/>
        <v>44.216216216216218</v>
      </c>
      <c r="O39" s="12">
        <f t="shared" si="50"/>
        <v>19.023255813953487</v>
      </c>
      <c r="P39" s="32">
        <v>1960</v>
      </c>
      <c r="Q39" s="134">
        <f t="shared" si="81"/>
        <v>14</v>
      </c>
      <c r="R39" s="134">
        <v>1977</v>
      </c>
      <c r="S39" s="134">
        <v>1990</v>
      </c>
      <c r="T39" s="32">
        <f>VLOOKUP($B39&amp;"1",Data!$A:$AB,27, FALSE)</f>
        <v>163</v>
      </c>
      <c r="U39" s="32">
        <f>VLOOKUP($B39&amp;"2",Data!$A:$AB,27, FALSE)</f>
        <v>1240</v>
      </c>
      <c r="V39" s="32">
        <f>VLOOKUP($B39&amp;"3",Data!$A:$AB,27, FALSE)</f>
        <v>-283</v>
      </c>
      <c r="W39" s="32">
        <f>VLOOKUP($B39&amp;"4",Data!$A:$AB,27, FALSE)</f>
        <v>516</v>
      </c>
      <c r="X39" s="32">
        <f t="shared" si="83"/>
        <v>37</v>
      </c>
      <c r="Y39" s="32">
        <f t="shared" si="84"/>
        <v>15</v>
      </c>
      <c r="Z39" s="32">
        <f t="shared" si="85"/>
        <v>48</v>
      </c>
      <c r="AA39" s="32">
        <f t="shared" si="86"/>
        <v>37</v>
      </c>
      <c r="AB39" s="32">
        <f>VLOOKUP($B39&amp;"1",Data!$A:$AB,28, FALSE)</f>
        <v>6</v>
      </c>
      <c r="AC39" s="32">
        <f>VLOOKUP($B39&amp;"2",Data!$A:$AB,28, FALSE)</f>
        <v>14</v>
      </c>
      <c r="AD39" s="32">
        <f>VLOOKUP($B39&amp;"3",Data!$A:$AB,28, FALSE)</f>
        <v>6</v>
      </c>
      <c r="AE39" s="32">
        <f>VLOOKUP($B39&amp;"4",Data!$A:$AB,28, FALSE)</f>
        <v>11</v>
      </c>
      <c r="AF39" s="32">
        <f t="shared" si="80"/>
        <v>27.166666666666668</v>
      </c>
      <c r="AG39" s="32">
        <f t="shared" si="77"/>
        <v>88.571428571428569</v>
      </c>
      <c r="AH39" s="32">
        <f t="shared" si="78"/>
        <v>-47.166666666666664</v>
      </c>
      <c r="AI39" s="32">
        <f t="shared" si="79"/>
        <v>46.909090909090907</v>
      </c>
      <c r="AJ39" s="134">
        <v>37</v>
      </c>
      <c r="AK39" s="134">
        <v>29</v>
      </c>
      <c r="AL39" s="134">
        <v>24</v>
      </c>
      <c r="AM39" s="134">
        <v>19</v>
      </c>
      <c r="AN39" s="134">
        <v>10</v>
      </c>
      <c r="AO39" s="134">
        <v>2</v>
      </c>
      <c r="AP39" s="134">
        <v>1</v>
      </c>
      <c r="AQ39" s="134">
        <v>1</v>
      </c>
      <c r="AR39" s="12">
        <f>AVERAGE(Data!J229)</f>
        <v>410</v>
      </c>
      <c r="AS39" s="12"/>
      <c r="AT39" s="12">
        <f>AVERAGE(Data!Q228)</f>
        <v>265</v>
      </c>
      <c r="AU39" s="12">
        <f>AVERAGE(Data!H229:I229,Data!J231,Data!K229,Data!L231,Data!N228:N229,Data!P231)</f>
        <v>113.625</v>
      </c>
      <c r="AV39" s="12">
        <f>AVERAGE(Data!D228:G231,Data!H230:I231,Data!L229:M230,Data!M230:O231,Data!O228:P229,Data!Q229:Q231)</f>
        <v>1.9259259259259258</v>
      </c>
      <c r="AW39" s="134">
        <f t="shared" si="56"/>
        <v>1</v>
      </c>
      <c r="AX39" s="134">
        <f t="shared" si="57"/>
        <v>0</v>
      </c>
      <c r="AY39" s="134">
        <f t="shared" si="58"/>
        <v>1</v>
      </c>
      <c r="AZ39" s="134">
        <f t="shared" si="59"/>
        <v>8</v>
      </c>
      <c r="BA39" s="32">
        <f t="shared" si="60"/>
        <v>27</v>
      </c>
      <c r="BB39" s="32">
        <f t="shared" si="61"/>
        <v>410</v>
      </c>
      <c r="BC39" s="32">
        <f t="shared" si="62"/>
        <v>0</v>
      </c>
      <c r="BD39" s="32">
        <f t="shared" si="63"/>
        <v>265</v>
      </c>
      <c r="BE39" s="32">
        <f t="shared" si="64"/>
        <v>909</v>
      </c>
      <c r="BF39" s="32">
        <f t="shared" si="65"/>
        <v>52</v>
      </c>
      <c r="BG39" s="32">
        <f t="shared" si="87"/>
        <v>2113.5056112458615</v>
      </c>
      <c r="BH39" s="137">
        <f t="shared" si="66"/>
        <v>1636</v>
      </c>
      <c r="BI39" s="83">
        <f t="shared" si="67"/>
        <v>477.50561124586147</v>
      </c>
      <c r="BJ39" s="134">
        <f t="shared" si="68"/>
        <v>37</v>
      </c>
      <c r="BK39" s="134">
        <v>0</v>
      </c>
      <c r="BL39" s="32">
        <f>BH39-(BJ39*Timeline!$AG$202)-(BK39*Timeline!$AK$202)</f>
        <v>2306.236010863639</v>
      </c>
      <c r="BM39" s="83">
        <f t="shared" si="69"/>
        <v>670.23601086363897</v>
      </c>
      <c r="BN39" s="32">
        <f t="shared" si="88"/>
        <v>1910.6324727941155</v>
      </c>
      <c r="BO39" s="83">
        <f t="shared" si="70"/>
        <v>274.63247279411553</v>
      </c>
      <c r="BP39" s="32">
        <f t="shared" si="71"/>
        <v>1930</v>
      </c>
      <c r="BQ39" s="83">
        <f t="shared" si="72"/>
        <v>294</v>
      </c>
      <c r="BR39" s="83">
        <f t="shared" si="89"/>
        <v>1945.2251980445858</v>
      </c>
      <c r="BS39" s="83">
        <f t="shared" si="73"/>
        <v>309.2251980445858</v>
      </c>
      <c r="BT39" s="32">
        <f t="shared" si="74"/>
        <v>3004.0806008370128</v>
      </c>
      <c r="BU39" s="83">
        <f t="shared" si="75"/>
        <v>1368.0806008370128</v>
      </c>
      <c r="BV39" s="32">
        <f>AVERAGE(Timeline!K209:X209)</f>
        <v>-105.23696929515482</v>
      </c>
      <c r="BW39" s="32">
        <f t="shared" si="90"/>
        <v>2415.6002033359973</v>
      </c>
      <c r="BX39" s="83">
        <f t="shared" si="76"/>
        <v>779.60020333599732</v>
      </c>
    </row>
    <row r="40" spans="1:76" s="144" customFormat="1" x14ac:dyDescent="0.2">
      <c r="A40" s="144">
        <f t="shared" si="82"/>
        <v>39</v>
      </c>
      <c r="B40" s="144" t="str">
        <f t="shared" si="43"/>
        <v>Manuel Orantes</v>
      </c>
      <c r="C40" s="144" t="s">
        <v>243</v>
      </c>
      <c r="D40" s="144" t="s">
        <v>244</v>
      </c>
      <c r="E40" s="144" t="s">
        <v>30</v>
      </c>
      <c r="F40" s="144">
        <f>VLOOKUP(B40&amp;"5",Data!A35:C269,3,FALSE)</f>
        <v>1611</v>
      </c>
      <c r="G40" s="144">
        <f t="shared" si="44"/>
        <v>72</v>
      </c>
      <c r="H40" s="144">
        <f t="shared" si="45"/>
        <v>28</v>
      </c>
      <c r="I40" s="45">
        <f t="shared" si="46"/>
        <v>0.72</v>
      </c>
      <c r="J40" s="54">
        <f>MAX(Data!D198:Z201)</f>
        <v>439</v>
      </c>
      <c r="K40" s="54">
        <f>MAX(Data!D202:Z202)</f>
        <v>355</v>
      </c>
      <c r="L40" s="46">
        <f t="shared" si="47"/>
        <v>55.89</v>
      </c>
      <c r="M40" s="12">
        <f t="shared" si="48"/>
        <v>107.4</v>
      </c>
      <c r="N40" s="12">
        <f t="shared" si="49"/>
        <v>55.551724137931032</v>
      </c>
      <c r="O40" s="12">
        <f t="shared" si="50"/>
        <v>22.375</v>
      </c>
      <c r="P40" s="32">
        <v>1949</v>
      </c>
      <c r="Q40" s="144">
        <v>15</v>
      </c>
      <c r="R40" s="144">
        <v>1968</v>
      </c>
      <c r="S40" s="144">
        <v>1983</v>
      </c>
      <c r="T40" s="32">
        <f>VLOOKUP($B40&amp;"1",Data!$A:$AB,27, FALSE)</f>
        <v>65</v>
      </c>
      <c r="U40" s="32">
        <f>VLOOKUP($B40&amp;"2",Data!$A:$AB,27, FALSE)</f>
        <v>779</v>
      </c>
      <c r="V40" s="32">
        <f>VLOOKUP($B40&amp;"3",Data!$A:$AB,27, FALSE)</f>
        <v>418</v>
      </c>
      <c r="W40" s="32">
        <f>VLOOKUP($B40&amp;"4",Data!$A:$AB,27, FALSE)</f>
        <v>349</v>
      </c>
      <c r="X40" s="32">
        <f t="shared" si="83"/>
        <v>38</v>
      </c>
      <c r="Y40" s="32">
        <f t="shared" si="84"/>
        <v>27</v>
      </c>
      <c r="Z40" s="32">
        <f t="shared" si="85"/>
        <v>31</v>
      </c>
      <c r="AA40" s="32">
        <f t="shared" si="86"/>
        <v>39</v>
      </c>
      <c r="AB40" s="32">
        <f>VLOOKUP($B40&amp;"1",Data!$A:$AB,28, FALSE)</f>
        <v>1</v>
      </c>
      <c r="AC40" s="32">
        <f>VLOOKUP($B40&amp;"2",Data!$A:$AB,28, FALSE)</f>
        <v>12</v>
      </c>
      <c r="AD40" s="32">
        <f>VLOOKUP($B40&amp;"3",Data!$A:$AB,28, FALSE)</f>
        <v>8</v>
      </c>
      <c r="AE40" s="32">
        <f>VLOOKUP($B40&amp;"4",Data!$A:$AB,28, FALSE)</f>
        <v>8</v>
      </c>
      <c r="AF40" s="32">
        <f t="shared" si="80"/>
        <v>65</v>
      </c>
      <c r="AG40" s="32">
        <f t="shared" si="77"/>
        <v>64.916666666666671</v>
      </c>
      <c r="AH40" s="32">
        <f t="shared" si="78"/>
        <v>52.25</v>
      </c>
      <c r="AI40" s="32">
        <f t="shared" si="79"/>
        <v>43.625</v>
      </c>
      <c r="AJ40" s="144">
        <v>29</v>
      </c>
      <c r="AK40" s="144">
        <v>23</v>
      </c>
      <c r="AL40" s="144">
        <v>18</v>
      </c>
      <c r="AM40" s="144">
        <v>14</v>
      </c>
      <c r="AN40" s="144">
        <v>10</v>
      </c>
      <c r="AO40" s="144">
        <v>4</v>
      </c>
      <c r="AP40" s="144">
        <v>2</v>
      </c>
      <c r="AQ40" s="144">
        <v>1</v>
      </c>
      <c r="AR40" s="12">
        <f>AVERAGE(Data!K200)</f>
        <v>439</v>
      </c>
      <c r="AS40" s="12">
        <f>AVERAGE(Data!J199)</f>
        <v>347</v>
      </c>
      <c r="AT40" s="12">
        <f>AVERAGE(Data!H199:H200)</f>
        <v>127</v>
      </c>
      <c r="AU40" s="12">
        <f>AVERAGE(Data!D198,Data!G201,Data!L201:M201,Data!L199:N199)</f>
        <v>135.83333333333334</v>
      </c>
      <c r="AV40" s="12">
        <f>AVERAGE(Data!D200:G200,Data!E199:F199,Data!E201,Data!H201:J201,Data!I199,Data!J200,Data!K199,Data!N201,Data!O199:O200,Data!P199:S199)</f>
        <v>-12.842105263157896</v>
      </c>
      <c r="AW40" s="144">
        <f t="shared" si="56"/>
        <v>1</v>
      </c>
      <c r="AX40" s="144">
        <f t="shared" si="57"/>
        <v>1</v>
      </c>
      <c r="AY40" s="144">
        <f t="shared" si="58"/>
        <v>2</v>
      </c>
      <c r="AZ40" s="144">
        <f t="shared" si="59"/>
        <v>6</v>
      </c>
      <c r="BA40" s="32">
        <f t="shared" si="60"/>
        <v>19</v>
      </c>
      <c r="BB40" s="32">
        <f t="shared" si="61"/>
        <v>439</v>
      </c>
      <c r="BC40" s="32">
        <f t="shared" si="62"/>
        <v>347</v>
      </c>
      <c r="BD40" s="32">
        <f t="shared" si="63"/>
        <v>254</v>
      </c>
      <c r="BE40" s="32">
        <f t="shared" si="64"/>
        <v>815</v>
      </c>
      <c r="BF40" s="32">
        <f t="shared" si="65"/>
        <v>-244.00000000000003</v>
      </c>
      <c r="BG40" s="32">
        <f t="shared" si="87"/>
        <v>2336.9539724117585</v>
      </c>
      <c r="BH40" s="144">
        <f t="shared" si="66"/>
        <v>1611</v>
      </c>
      <c r="BI40" s="83">
        <f t="shared" si="67"/>
        <v>725.95397241175851</v>
      </c>
      <c r="BJ40" s="144">
        <f t="shared" si="68"/>
        <v>29</v>
      </c>
      <c r="BK40" s="144">
        <v>0</v>
      </c>
      <c r="BL40" s="32">
        <f>BH40-(BJ40*Timeline!$AG$202)-(BK40*Timeline!$AK$202)</f>
        <v>2136.3201166228523</v>
      </c>
      <c r="BM40" s="83">
        <f t="shared" si="69"/>
        <v>525.32011662285231</v>
      </c>
      <c r="BN40" s="32">
        <f t="shared" si="88"/>
        <v>1740.7165785533289</v>
      </c>
      <c r="BO40" s="83">
        <f t="shared" si="70"/>
        <v>129.71657855332887</v>
      </c>
      <c r="BP40" s="32">
        <f t="shared" si="71"/>
        <v>1787</v>
      </c>
      <c r="BQ40" s="83">
        <f t="shared" si="72"/>
        <v>176</v>
      </c>
      <c r="BR40" s="83">
        <f t="shared" si="89"/>
        <v>1802.2251980445858</v>
      </c>
      <c r="BS40" s="83">
        <f t="shared" si="73"/>
        <v>191.2251980445858</v>
      </c>
      <c r="BT40" s="32">
        <f t="shared" si="74"/>
        <v>2015.6835360259615</v>
      </c>
      <c r="BU40" s="83">
        <f t="shared" si="75"/>
        <v>404.68353602596153</v>
      </c>
      <c r="BV40" s="32">
        <f>AVERAGE(Timeline!B209:O209,Timeline!Q209)</f>
        <v>-26.978902401730775</v>
      </c>
      <c r="BW40" s="32">
        <f t="shared" si="90"/>
        <v>1427.2031385249459</v>
      </c>
      <c r="BX40" s="83">
        <f t="shared" si="76"/>
        <v>-183.79686147505413</v>
      </c>
    </row>
    <row r="41" spans="1:76" s="144" customFormat="1" x14ac:dyDescent="0.2">
      <c r="A41" s="144">
        <f t="shared" si="82"/>
        <v>40</v>
      </c>
      <c r="B41" s="144" t="str">
        <f t="shared" si="43"/>
        <v>Pat Cash</v>
      </c>
      <c r="C41" s="144" t="s">
        <v>226</v>
      </c>
      <c r="D41" s="144" t="s">
        <v>259</v>
      </c>
      <c r="E41" s="144" t="s">
        <v>147</v>
      </c>
      <c r="F41" s="144">
        <f>VLOOKUP(B41&amp;"5",Data!A37:C271,3,FALSE)</f>
        <v>1538</v>
      </c>
      <c r="G41" s="144">
        <f t="shared" si="44"/>
        <v>71</v>
      </c>
      <c r="H41" s="144">
        <f t="shared" si="45"/>
        <v>33</v>
      </c>
      <c r="I41" s="45">
        <f t="shared" si="46"/>
        <v>0.68269230769230771</v>
      </c>
      <c r="J41" s="54">
        <f>MAX(Data!D233:T236)</f>
        <v>441</v>
      </c>
      <c r="K41" s="54">
        <f>MAX(Data!D237:T237)</f>
        <v>604</v>
      </c>
      <c r="L41" s="46">
        <f t="shared" si="47"/>
        <v>53.480769230769234</v>
      </c>
      <c r="M41" s="12">
        <f t="shared" si="48"/>
        <v>102.53333333333333</v>
      </c>
      <c r="N41" s="12">
        <f t="shared" si="49"/>
        <v>45.235294117647058</v>
      </c>
      <c r="O41" s="12">
        <f t="shared" si="50"/>
        <v>21.661971830985916</v>
      </c>
      <c r="P41" s="32">
        <v>1965</v>
      </c>
      <c r="Q41" s="144">
        <v>15</v>
      </c>
      <c r="R41" s="144">
        <v>1981</v>
      </c>
      <c r="S41" s="144">
        <v>1997</v>
      </c>
      <c r="T41" s="32">
        <f>VLOOKUP($B41&amp;"1",Data!$A:$AB,27, FALSE)</f>
        <v>864</v>
      </c>
      <c r="U41" s="32">
        <f>VLOOKUP($B41&amp;"2",Data!$A:$AB,27, FALSE)</f>
        <v>-182</v>
      </c>
      <c r="V41" s="32">
        <f>VLOOKUP($B41&amp;"3",Data!$A:$AB,27, FALSE)</f>
        <v>832</v>
      </c>
      <c r="W41" s="32">
        <f>VLOOKUP($B41&amp;"4",Data!$A:$AB,27, FALSE)</f>
        <v>24</v>
      </c>
      <c r="X41" s="32">
        <f t="shared" si="83"/>
        <v>22</v>
      </c>
      <c r="Y41" s="32">
        <f t="shared" si="84"/>
        <v>47</v>
      </c>
      <c r="Z41" s="32">
        <f t="shared" si="85"/>
        <v>25</v>
      </c>
      <c r="AA41" s="32">
        <f t="shared" si="86"/>
        <v>44</v>
      </c>
      <c r="AB41" s="32">
        <f>VLOOKUP($B41&amp;"1",Data!$A:$AB,28, FALSE)</f>
        <v>11</v>
      </c>
      <c r="AC41" s="32">
        <f>VLOOKUP($B41&amp;"2",Data!$A:$AB,28, FALSE)</f>
        <v>5</v>
      </c>
      <c r="AD41" s="32">
        <f>VLOOKUP($B41&amp;"3",Data!$A:$AB,28, FALSE)</f>
        <v>11</v>
      </c>
      <c r="AE41" s="32">
        <f>VLOOKUP($B41&amp;"4",Data!$A:$AB,28, FALSE)</f>
        <v>7</v>
      </c>
      <c r="AF41" s="32">
        <f t="shared" si="80"/>
        <v>78.545454545454547</v>
      </c>
      <c r="AG41" s="32">
        <f t="shared" si="77"/>
        <v>-36.4</v>
      </c>
      <c r="AH41" s="32">
        <f t="shared" si="78"/>
        <v>75.63636363636364</v>
      </c>
      <c r="AI41" s="32">
        <f t="shared" si="79"/>
        <v>3.4285714285714284</v>
      </c>
      <c r="AJ41" s="144">
        <v>34</v>
      </c>
      <c r="AK41" s="144">
        <v>22</v>
      </c>
      <c r="AL41" s="144">
        <v>17</v>
      </c>
      <c r="AM41" s="144">
        <v>14</v>
      </c>
      <c r="AN41" s="144">
        <v>9</v>
      </c>
      <c r="AO41" s="144">
        <v>5</v>
      </c>
      <c r="AP41" s="144">
        <v>3</v>
      </c>
      <c r="AQ41" s="144">
        <v>1</v>
      </c>
      <c r="AR41" s="12">
        <f>AVERAGE(Data!J235)</f>
        <v>441</v>
      </c>
      <c r="AS41" s="12">
        <f>AVERAGE(Data!J233:K233)</f>
        <v>303</v>
      </c>
      <c r="AT41" s="12">
        <f>AVERAGE(Data!G235:G236)</f>
        <v>272</v>
      </c>
      <c r="AU41" s="12">
        <f>AVERAGE(Data!G233,Data!K235,Data!I235,Data!E233)</f>
        <v>120</v>
      </c>
      <c r="AV41" s="12">
        <f>AVERAGE(Data!L233:T236,Data!J234:K234,Data!I236:J236,Data!H235,Data!G234,Data!F233:F236,Data!E236,Data!D233)</f>
        <v>-21.32</v>
      </c>
      <c r="AW41" s="144">
        <f t="shared" si="56"/>
        <v>1</v>
      </c>
      <c r="AX41" s="144">
        <f t="shared" si="57"/>
        <v>2</v>
      </c>
      <c r="AY41" s="144">
        <f t="shared" si="58"/>
        <v>2</v>
      </c>
      <c r="AZ41" s="144">
        <f t="shared" si="59"/>
        <v>4</v>
      </c>
      <c r="BA41" s="32">
        <f t="shared" si="60"/>
        <v>25</v>
      </c>
      <c r="BB41" s="32">
        <f t="shared" si="61"/>
        <v>441</v>
      </c>
      <c r="BC41" s="32">
        <f t="shared" si="62"/>
        <v>606</v>
      </c>
      <c r="BD41" s="32">
        <f t="shared" si="63"/>
        <v>544</v>
      </c>
      <c r="BE41" s="32">
        <f t="shared" si="64"/>
        <v>480</v>
      </c>
      <c r="BF41" s="32">
        <f t="shared" si="65"/>
        <v>-533</v>
      </c>
      <c r="BG41" s="32">
        <f t="shared" si="87"/>
        <v>2416.5698816386539</v>
      </c>
      <c r="BH41" s="144">
        <f t="shared" si="66"/>
        <v>1538</v>
      </c>
      <c r="BI41" s="83">
        <f t="shared" si="67"/>
        <v>878.5698816386539</v>
      </c>
      <c r="BJ41" s="144">
        <f t="shared" si="68"/>
        <v>34</v>
      </c>
      <c r="BK41" s="144">
        <v>0</v>
      </c>
      <c r="BL41" s="32">
        <f>BH41-(BJ41*Timeline!$AG$202)-(BK41*Timeline!$AK$202)</f>
        <v>2153.8925505233437</v>
      </c>
      <c r="BM41" s="83">
        <f t="shared" si="69"/>
        <v>615.89255052334374</v>
      </c>
      <c r="BN41" s="32">
        <f t="shared" si="88"/>
        <v>1758.2890124538203</v>
      </c>
      <c r="BO41" s="83">
        <f t="shared" si="70"/>
        <v>220.28901245382031</v>
      </c>
      <c r="BP41" s="32">
        <f t="shared" si="71"/>
        <v>1901</v>
      </c>
      <c r="BQ41" s="83">
        <f t="shared" si="72"/>
        <v>363</v>
      </c>
      <c r="BR41" s="83">
        <f t="shared" si="89"/>
        <v>1916.2251980445858</v>
      </c>
      <c r="BS41" s="83">
        <f t="shared" si="73"/>
        <v>378.2251980445858</v>
      </c>
      <c r="BT41" s="32">
        <f t="shared" si="74"/>
        <v>3198.1077294329834</v>
      </c>
      <c r="BU41" s="83">
        <f t="shared" si="75"/>
        <v>1660.1077294329834</v>
      </c>
      <c r="BV41" s="32">
        <f>AVERAGE(Timeline!O209:Z209,Timeline!AC209:AE209)</f>
        <v>-103.75673308956146</v>
      </c>
      <c r="BW41" s="32">
        <f t="shared" si="90"/>
        <v>2609.627331931968</v>
      </c>
      <c r="BX41" s="83">
        <f t="shared" si="76"/>
        <v>1071.627331931968</v>
      </c>
    </row>
    <row r="42" spans="1:76" s="158" customFormat="1" x14ac:dyDescent="0.2">
      <c r="A42" s="158">
        <f t="shared" si="82"/>
        <v>41</v>
      </c>
      <c r="B42" s="158" t="str">
        <f t="shared" si="43"/>
        <v>Johan Kriek</v>
      </c>
      <c r="C42" s="158" t="s">
        <v>215</v>
      </c>
      <c r="D42" s="158" t="s">
        <v>216</v>
      </c>
      <c r="E42" s="158" t="s">
        <v>217</v>
      </c>
      <c r="F42" s="158">
        <f>VLOOKUP(B42&amp;"5",Data!A32:C266,3,FALSE)</f>
        <v>1329</v>
      </c>
      <c r="G42" s="158">
        <f t="shared" si="44"/>
        <v>89</v>
      </c>
      <c r="H42" s="158">
        <f t="shared" si="45"/>
        <v>34</v>
      </c>
      <c r="I42" s="45">
        <f t="shared" si="46"/>
        <v>0.72357723577235777</v>
      </c>
      <c r="J42" s="54">
        <f>MAX(Data!D153:Z156)</f>
        <v>465</v>
      </c>
      <c r="K42" s="54">
        <f>MAX(Data!D157:Z157)</f>
        <v>432</v>
      </c>
      <c r="L42" s="46">
        <f t="shared" si="47"/>
        <v>61.552845528455286</v>
      </c>
      <c r="M42" s="12">
        <f t="shared" si="48"/>
        <v>94.928571428571431</v>
      </c>
      <c r="N42" s="12">
        <f t="shared" si="49"/>
        <v>36.916666666666664</v>
      </c>
      <c r="O42" s="12">
        <f t="shared" si="50"/>
        <v>14.932584269662922</v>
      </c>
      <c r="P42" s="32">
        <v>1958</v>
      </c>
      <c r="Q42" s="158">
        <f t="shared" ref="Q42:Q50" si="91">S42-R42+1</f>
        <v>14</v>
      </c>
      <c r="R42" s="158">
        <v>1978</v>
      </c>
      <c r="S42" s="158">
        <v>1991</v>
      </c>
      <c r="T42" s="32">
        <f>VLOOKUP($B42&amp;"1",Data!$A:$AB,27, FALSE)</f>
        <v>740</v>
      </c>
      <c r="U42" s="32">
        <f>VLOOKUP($B42&amp;"2",Data!$A:$AB,27, FALSE)</f>
        <v>65</v>
      </c>
      <c r="V42" s="32">
        <f>VLOOKUP($B42&amp;"3",Data!$A:$AB,27, FALSE)</f>
        <v>136</v>
      </c>
      <c r="W42" s="32">
        <f>VLOOKUP($B42&amp;"4",Data!$A:$AB,27, FALSE)</f>
        <v>388</v>
      </c>
      <c r="X42" s="32">
        <f t="shared" si="83"/>
        <v>24</v>
      </c>
      <c r="Y42" s="32">
        <f t="shared" si="84"/>
        <v>43</v>
      </c>
      <c r="Z42" s="32">
        <f t="shared" si="85"/>
        <v>37</v>
      </c>
      <c r="AA42" s="32">
        <f t="shared" si="86"/>
        <v>38</v>
      </c>
      <c r="AB42" s="32">
        <f>VLOOKUP($B42&amp;"1",Data!$A:$AB,28, FALSE)</f>
        <v>8</v>
      </c>
      <c r="AC42" s="32">
        <f>VLOOKUP($B42&amp;"2",Data!$A:$AB,28, FALSE)</f>
        <v>3</v>
      </c>
      <c r="AD42" s="32">
        <f>VLOOKUP($B42&amp;"3",Data!$A:$AB,28, FALSE)</f>
        <v>13</v>
      </c>
      <c r="AE42" s="32">
        <f>VLOOKUP($B42&amp;"4",Data!$A:$AB,28, FALSE)</f>
        <v>12</v>
      </c>
      <c r="AF42" s="32">
        <f t="shared" si="80"/>
        <v>92.5</v>
      </c>
      <c r="AG42" s="32">
        <f t="shared" si="77"/>
        <v>21.666666666666668</v>
      </c>
      <c r="AH42" s="32">
        <f t="shared" si="78"/>
        <v>10.461538461538462</v>
      </c>
      <c r="AI42" s="32">
        <f t="shared" si="79"/>
        <v>32.333333333333336</v>
      </c>
      <c r="AJ42" s="158">
        <v>36</v>
      </c>
      <c r="AK42" s="158">
        <v>30</v>
      </c>
      <c r="AL42" s="158">
        <v>25</v>
      </c>
      <c r="AM42" s="158">
        <v>14</v>
      </c>
      <c r="AN42" s="158">
        <v>11</v>
      </c>
      <c r="AO42" s="158">
        <v>5</v>
      </c>
      <c r="AP42" s="158">
        <v>2</v>
      </c>
      <c r="AQ42" s="158">
        <v>2</v>
      </c>
      <c r="AR42" s="12">
        <f>AVERAGE(Data!G153:H153)</f>
        <v>350.5</v>
      </c>
      <c r="AS42" s="12"/>
      <c r="AT42" s="12">
        <f>AVERAGE(Data!F156,Data!J153,)</f>
        <v>152.66666666666666</v>
      </c>
      <c r="AU42" s="12">
        <f>AVERAGE(Data!G155:H155,Data!D156:E156,Data!I153,Data!K153)</f>
        <v>62.833333333333336</v>
      </c>
      <c r="AV42" s="12">
        <f>AVERAGE(Data!D154:F155,Data!G156:O156,Data!I155:Q155,Data!M153:O154)</f>
        <v>-15.56</v>
      </c>
      <c r="AW42" s="158">
        <f t="shared" si="56"/>
        <v>2</v>
      </c>
      <c r="AX42" s="158">
        <f t="shared" si="57"/>
        <v>0</v>
      </c>
      <c r="AY42" s="158">
        <f t="shared" si="58"/>
        <v>3</v>
      </c>
      <c r="AZ42" s="158">
        <f t="shared" si="59"/>
        <v>6</v>
      </c>
      <c r="BA42" s="32">
        <f t="shared" si="60"/>
        <v>25</v>
      </c>
      <c r="BB42" s="32">
        <f t="shared" si="61"/>
        <v>701</v>
      </c>
      <c r="BC42" s="32">
        <f t="shared" si="62"/>
        <v>0</v>
      </c>
      <c r="BD42" s="32">
        <f t="shared" si="63"/>
        <v>458</v>
      </c>
      <c r="BE42" s="32">
        <f t="shared" si="64"/>
        <v>377</v>
      </c>
      <c r="BF42" s="32">
        <f t="shared" si="65"/>
        <v>-389</v>
      </c>
      <c r="BG42" s="32">
        <f t="shared" si="87"/>
        <v>2723.4130227545847</v>
      </c>
      <c r="BH42" s="158">
        <f t="shared" si="66"/>
        <v>1329</v>
      </c>
      <c r="BI42" s="83">
        <f t="shared" si="67"/>
        <v>1394.4130227545847</v>
      </c>
      <c r="BJ42" s="158">
        <f t="shared" si="68"/>
        <v>19</v>
      </c>
      <c r="BK42" s="158">
        <f>AJ42-COUNT(Timeline!D139:AH142)-2</f>
        <v>17</v>
      </c>
      <c r="BL42" s="32">
        <f>BH42-(BJ42*Timeline!$AG$202)-(BK42*Timeline!$AK$202)</f>
        <v>1591.9244090620195</v>
      </c>
      <c r="BM42" s="83">
        <f t="shared" si="69"/>
        <v>262.92440906201955</v>
      </c>
      <c r="BN42" s="32">
        <f t="shared" si="88"/>
        <v>1196.3208709924961</v>
      </c>
      <c r="BO42" s="83">
        <f t="shared" si="70"/>
        <v>-132.67912900750389</v>
      </c>
      <c r="BP42" s="32">
        <f t="shared" si="71"/>
        <v>1066</v>
      </c>
      <c r="BQ42" s="83">
        <f t="shared" si="72"/>
        <v>-263</v>
      </c>
      <c r="BR42" s="83">
        <f t="shared" si="89"/>
        <v>1081.2251980445858</v>
      </c>
      <c r="BS42" s="83">
        <f t="shared" si="73"/>
        <v>-247.7748019554142</v>
      </c>
      <c r="BT42" s="32">
        <f t="shared" si="74"/>
        <v>2573.1240532179645</v>
      </c>
      <c r="BU42" s="83">
        <f t="shared" si="75"/>
        <v>1244.1240532179645</v>
      </c>
      <c r="BV42" s="32">
        <f>AVERAGE(Timeline!L209:Y209)</f>
        <v>-95.701850247535745</v>
      </c>
      <c r="BW42" s="32">
        <f t="shared" si="90"/>
        <v>1984.6436557169488</v>
      </c>
      <c r="BX42" s="83">
        <f t="shared" si="76"/>
        <v>655.64365571694884</v>
      </c>
    </row>
    <row r="43" spans="1:76" s="152" customFormat="1" x14ac:dyDescent="0.2">
      <c r="A43" s="152">
        <f t="shared" si="82"/>
        <v>42</v>
      </c>
      <c r="B43" s="152" t="str">
        <f t="shared" si="43"/>
        <v>Andres Gimeno</v>
      </c>
      <c r="C43" s="152" t="s">
        <v>236</v>
      </c>
      <c r="D43" s="152" t="s">
        <v>237</v>
      </c>
      <c r="E43" s="152" t="s">
        <v>30</v>
      </c>
      <c r="F43" s="152">
        <f>VLOOKUP(B43&amp;"5",Data!A35:C269,3,FALSE)</f>
        <v>1317</v>
      </c>
      <c r="G43" s="152">
        <f t="shared" si="44"/>
        <v>41</v>
      </c>
      <c r="H43" s="152">
        <f t="shared" si="45"/>
        <v>14</v>
      </c>
      <c r="I43" s="45">
        <f t="shared" si="46"/>
        <v>0.74545454545454548</v>
      </c>
      <c r="J43" s="54">
        <f>MAX(Data!D193:Z196)</f>
        <v>447</v>
      </c>
      <c r="K43" s="54">
        <f>MAX(Data!D197:Z197)</f>
        <v>526</v>
      </c>
      <c r="L43" s="46">
        <f t="shared" si="47"/>
        <v>50.6</v>
      </c>
      <c r="M43" s="12">
        <f t="shared" si="48"/>
        <v>219.5</v>
      </c>
      <c r="N43" s="12">
        <f t="shared" si="49"/>
        <v>87.8</v>
      </c>
      <c r="O43" s="12">
        <f t="shared" si="50"/>
        <v>32.121951219512198</v>
      </c>
      <c r="P43" s="32">
        <v>1937</v>
      </c>
      <c r="Q43" s="152">
        <f t="shared" si="91"/>
        <v>6</v>
      </c>
      <c r="R43" s="152">
        <v>1968</v>
      </c>
      <c r="S43" s="152">
        <v>1973</v>
      </c>
      <c r="T43" s="32">
        <f>VLOOKUP($B43&amp;"1",Data!$A:$AB,27, FALSE)</f>
        <v>281</v>
      </c>
      <c r="U43" s="32">
        <f>VLOOKUP($B43&amp;"2",Data!$A:$AB,27, FALSE)</f>
        <v>692</v>
      </c>
      <c r="V43" s="32">
        <f>VLOOKUP($B43&amp;"3",Data!$A:$AB,27, FALSE)</f>
        <v>282</v>
      </c>
      <c r="W43" s="32">
        <f>VLOOKUP($B43&amp;"4",Data!$A:$AB,27, FALSE)</f>
        <v>62</v>
      </c>
      <c r="X43" s="32">
        <f t="shared" si="83"/>
        <v>34</v>
      </c>
      <c r="Y43" s="32">
        <f t="shared" si="84"/>
        <v>32</v>
      </c>
      <c r="Z43" s="32">
        <f t="shared" si="85"/>
        <v>32</v>
      </c>
      <c r="AA43" s="32">
        <f t="shared" si="86"/>
        <v>43</v>
      </c>
      <c r="AB43" s="32">
        <f>VLOOKUP($B43&amp;"1",Data!$A:$AB,28, FALSE)</f>
        <v>2</v>
      </c>
      <c r="AC43" s="32">
        <f>VLOOKUP($B43&amp;"2",Data!$A:$AB,28, FALSE)</f>
        <v>4</v>
      </c>
      <c r="AD43" s="32">
        <f>VLOOKUP($B43&amp;"3",Data!$A:$AB,28, FALSE)</f>
        <v>5</v>
      </c>
      <c r="AE43" s="32">
        <f>VLOOKUP($B43&amp;"4",Data!$A:$AB,28, FALSE)</f>
        <v>4</v>
      </c>
      <c r="AF43" s="32">
        <f t="shared" si="80"/>
        <v>140.5</v>
      </c>
      <c r="AG43" s="32">
        <f t="shared" si="77"/>
        <v>173</v>
      </c>
      <c r="AH43" s="32">
        <f t="shared" si="78"/>
        <v>56.4</v>
      </c>
      <c r="AI43" s="32">
        <f t="shared" si="79"/>
        <v>15.5</v>
      </c>
      <c r="AJ43" s="152">
        <v>15</v>
      </c>
      <c r="AK43" s="152">
        <v>12</v>
      </c>
      <c r="AL43" s="152">
        <v>9</v>
      </c>
      <c r="AM43" s="152">
        <v>8</v>
      </c>
      <c r="AN43" s="152">
        <v>5</v>
      </c>
      <c r="AO43" s="152">
        <v>4</v>
      </c>
      <c r="AP43" s="152">
        <v>2</v>
      </c>
      <c r="AQ43" s="152">
        <v>1</v>
      </c>
      <c r="AR43" s="12">
        <f>AVERAGE(Data!H194)</f>
        <v>447</v>
      </c>
      <c r="AS43" s="12">
        <f>AVERAGE(Data!E193)</f>
        <v>303</v>
      </c>
      <c r="AT43" s="12">
        <f>AVERAGE(Data!D194,Data!F195)</f>
        <v>242</v>
      </c>
      <c r="AU43" s="12">
        <f>AVERAGE(Data!E194)</f>
        <v>102</v>
      </c>
      <c r="AV43" s="12">
        <f>AVERAGE(Data!D195:E196,Data!F196,Data!G193:G195,Data!H195:H196,Data!I194)</f>
        <v>-1.9</v>
      </c>
      <c r="AW43" s="152">
        <f t="shared" si="56"/>
        <v>1</v>
      </c>
      <c r="AX43" s="152">
        <f t="shared" si="57"/>
        <v>1</v>
      </c>
      <c r="AY43" s="152">
        <f t="shared" si="58"/>
        <v>2</v>
      </c>
      <c r="AZ43" s="152">
        <f t="shared" si="59"/>
        <v>1</v>
      </c>
      <c r="BA43" s="32">
        <f t="shared" si="60"/>
        <v>10</v>
      </c>
      <c r="BB43" s="32">
        <f t="shared" si="61"/>
        <v>447</v>
      </c>
      <c r="BC43" s="32">
        <f t="shared" si="62"/>
        <v>303</v>
      </c>
      <c r="BD43" s="32">
        <f t="shared" si="63"/>
        <v>484</v>
      </c>
      <c r="BE43" s="32">
        <f t="shared" si="64"/>
        <v>102</v>
      </c>
      <c r="BF43" s="32">
        <f t="shared" si="65"/>
        <v>-19</v>
      </c>
      <c r="BG43" s="32">
        <f t="shared" si="87"/>
        <v>1503.2982549670817</v>
      </c>
      <c r="BH43" s="152">
        <f t="shared" si="66"/>
        <v>1317</v>
      </c>
      <c r="BI43" s="83">
        <f t="shared" si="67"/>
        <v>186.29825496708168</v>
      </c>
      <c r="BJ43" s="152">
        <f t="shared" si="68"/>
        <v>15</v>
      </c>
      <c r="BK43" s="152">
        <v>0</v>
      </c>
      <c r="BL43" s="32">
        <f>BH43-(BJ43*Timeline!$AG$202)-(BK43*Timeline!$AK$202)</f>
        <v>1588.7173017014752</v>
      </c>
      <c r="BM43" s="83">
        <f t="shared" si="69"/>
        <v>271.71730170147521</v>
      </c>
      <c r="BN43" s="32">
        <f t="shared" si="88"/>
        <v>1193.1137636319518</v>
      </c>
      <c r="BO43" s="83">
        <f t="shared" si="70"/>
        <v>-123.88623636804823</v>
      </c>
      <c r="BP43" s="32">
        <f t="shared" si="71"/>
        <v>1444</v>
      </c>
      <c r="BQ43" s="83">
        <f t="shared" si="72"/>
        <v>127</v>
      </c>
      <c r="BR43" s="83">
        <f t="shared" si="89"/>
        <v>1459.2251980445858</v>
      </c>
      <c r="BS43" s="83">
        <f t="shared" si="73"/>
        <v>142.2251980445858</v>
      </c>
      <c r="BT43" s="32">
        <f t="shared" si="74"/>
        <v>1141.2425278816697</v>
      </c>
      <c r="BU43" s="83">
        <f t="shared" si="75"/>
        <v>-175.75747211833027</v>
      </c>
      <c r="BV43" s="32">
        <f>AVERAGE(Timeline!B209:G209)</f>
        <v>35.151494423666051</v>
      </c>
      <c r="BW43" s="32">
        <f t="shared" si="90"/>
        <v>552.76213038065407</v>
      </c>
      <c r="BX43" s="83">
        <f t="shared" si="76"/>
        <v>-764.23786961934593</v>
      </c>
    </row>
    <row r="44" spans="1:76" s="155" customFormat="1" x14ac:dyDescent="0.2">
      <c r="A44" s="155">
        <f t="shared" si="82"/>
        <v>43</v>
      </c>
      <c r="B44" s="155" t="str">
        <f t="shared" si="43"/>
        <v>Gustavo Kuerten</v>
      </c>
      <c r="C44" s="155" t="s">
        <v>136</v>
      </c>
      <c r="D44" s="155" t="s">
        <v>137</v>
      </c>
      <c r="E44" s="155" t="s">
        <v>138</v>
      </c>
      <c r="F44" s="155">
        <f>VLOOKUP(B44&amp;"5",Data!A33:C267,3,FALSE)</f>
        <v>1157</v>
      </c>
      <c r="G44" s="155">
        <f t="shared" si="44"/>
        <v>65</v>
      </c>
      <c r="H44" s="155">
        <f t="shared" si="45"/>
        <v>30</v>
      </c>
      <c r="I44" s="45">
        <f t="shared" si="46"/>
        <v>0.68421052631578949</v>
      </c>
      <c r="J44" s="54">
        <f>MAX(Data!D78:Z81)</f>
        <v>531</v>
      </c>
      <c r="K44" s="54">
        <f>MAX(Data!D82:Z82)</f>
        <v>555</v>
      </c>
      <c r="L44" s="46">
        <f t="shared" si="47"/>
        <v>56.242105263157896</v>
      </c>
      <c r="M44" s="12">
        <f t="shared" si="48"/>
        <v>89</v>
      </c>
      <c r="N44" s="12">
        <f t="shared" si="49"/>
        <v>35.060606060606062</v>
      </c>
      <c r="O44" s="12">
        <f t="shared" si="50"/>
        <v>17.8</v>
      </c>
      <c r="P44" s="32">
        <v>1976</v>
      </c>
      <c r="Q44" s="155">
        <f t="shared" si="91"/>
        <v>13</v>
      </c>
      <c r="R44" s="155">
        <v>1996</v>
      </c>
      <c r="S44" s="155">
        <v>2008</v>
      </c>
      <c r="T44" s="32">
        <f>VLOOKUP($B44&amp;"1",Data!$A:$AB,27, FALSE)</f>
        <v>-318</v>
      </c>
      <c r="U44" s="32">
        <f>VLOOKUP($B44&amp;"2",Data!$A:$AB,27, FALSE)</f>
        <v>1603</v>
      </c>
      <c r="V44" s="32">
        <f>VLOOKUP($B44&amp;"3",Data!$A:$AB,27, FALSE)</f>
        <v>-222</v>
      </c>
      <c r="W44" s="32">
        <f>VLOOKUP($B44&amp;"4",Data!$A:$AB,27, FALSE)</f>
        <v>94</v>
      </c>
      <c r="X44" s="32">
        <f t="shared" si="83"/>
        <v>49</v>
      </c>
      <c r="Y44" s="32">
        <f t="shared" si="84"/>
        <v>11</v>
      </c>
      <c r="Z44" s="32">
        <f t="shared" si="85"/>
        <v>46</v>
      </c>
      <c r="AA44" s="32">
        <f t="shared" si="86"/>
        <v>42</v>
      </c>
      <c r="AB44" s="32">
        <f>VLOOKUP($B44&amp;"1",Data!$A:$AB,28, FALSE)</f>
        <v>8</v>
      </c>
      <c r="AC44" s="32">
        <f>VLOOKUP($B44&amp;"2",Data!$A:$AB,28, FALSE)</f>
        <v>11</v>
      </c>
      <c r="AD44" s="32">
        <f>VLOOKUP($B44&amp;"3",Data!$A:$AB,28, FALSE)</f>
        <v>5</v>
      </c>
      <c r="AE44" s="32">
        <f>VLOOKUP($B44&amp;"4",Data!$A:$AB,28, FALSE)</f>
        <v>9</v>
      </c>
      <c r="AF44" s="32">
        <f t="shared" si="80"/>
        <v>-39.75</v>
      </c>
      <c r="AG44" s="32">
        <f t="shared" si="77"/>
        <v>145.72727272727272</v>
      </c>
      <c r="AH44" s="32">
        <f t="shared" si="78"/>
        <v>-44.4</v>
      </c>
      <c r="AI44" s="32">
        <f t="shared" si="79"/>
        <v>10.444444444444445</v>
      </c>
      <c r="AJ44" s="155">
        <v>33</v>
      </c>
      <c r="AK44" s="155">
        <v>23</v>
      </c>
      <c r="AL44" s="155">
        <v>14</v>
      </c>
      <c r="AM44" s="155">
        <v>11</v>
      </c>
      <c r="AN44" s="155">
        <v>8</v>
      </c>
      <c r="AO44" s="155">
        <v>3</v>
      </c>
      <c r="AP44" s="155">
        <v>3</v>
      </c>
      <c r="AQ44" s="155">
        <v>3</v>
      </c>
      <c r="AR44" s="12">
        <f>AVERAGE(Data!E79,Data!H79:I79)</f>
        <v>490.33333333333331</v>
      </c>
      <c r="AS44" s="12"/>
      <c r="AT44" s="12"/>
      <c r="AU44" s="12">
        <f>AVERAGE(Data!G79:G81,Data!I81,Data!L79)</f>
        <v>107.8</v>
      </c>
      <c r="AV44" s="12">
        <f>AVERAGE(Data!D79,Data!E78:L78,Data!E80:F81,Data!F79,Data!H80:H81,Data!J81:M81,Data!J79:K79,Data!K80,Data!M79,Data!P79)</f>
        <v>-34.119999999999997</v>
      </c>
      <c r="AW44" s="155">
        <f t="shared" si="56"/>
        <v>3</v>
      </c>
      <c r="AX44" s="155">
        <f t="shared" si="57"/>
        <v>0</v>
      </c>
      <c r="AY44" s="155">
        <f t="shared" si="58"/>
        <v>0</v>
      </c>
      <c r="AZ44" s="155">
        <f t="shared" si="59"/>
        <v>5</v>
      </c>
      <c r="BA44" s="32">
        <f t="shared" si="60"/>
        <v>25</v>
      </c>
      <c r="BB44" s="32">
        <f t="shared" si="61"/>
        <v>1471</v>
      </c>
      <c r="BC44" s="32">
        <f t="shared" si="62"/>
        <v>0</v>
      </c>
      <c r="BD44" s="32">
        <f t="shared" si="63"/>
        <v>0</v>
      </c>
      <c r="BE44" s="32">
        <f t="shared" si="64"/>
        <v>539</v>
      </c>
      <c r="BF44" s="32">
        <f t="shared" si="65"/>
        <v>-852.99999999999989</v>
      </c>
      <c r="BG44" s="32">
        <f t="shared" si="87"/>
        <v>2318.3297619631157</v>
      </c>
      <c r="BH44" s="155">
        <f t="shared" si="66"/>
        <v>1157</v>
      </c>
      <c r="BI44" s="83">
        <f t="shared" si="67"/>
        <v>1161.3297619631157</v>
      </c>
      <c r="BJ44" s="155">
        <f t="shared" si="68"/>
        <v>19</v>
      </c>
      <c r="BK44" s="155">
        <f>AJ44-COUNT(Timeline!D138:AH141)-2</f>
        <v>14</v>
      </c>
      <c r="BL44" s="32">
        <f>BH44-(BJ44*Timeline!$AG$202)-(BK44*Timeline!$AK$202)</f>
        <v>1434.2627925490517</v>
      </c>
      <c r="BM44" s="83">
        <f t="shared" si="69"/>
        <v>277.26279254905171</v>
      </c>
      <c r="BN44" s="32">
        <f t="shared" si="88"/>
        <v>1038.659254479528</v>
      </c>
      <c r="BO44" s="83">
        <f t="shared" si="70"/>
        <v>-118.34074552047196</v>
      </c>
      <c r="BP44" s="32">
        <f t="shared" si="71"/>
        <v>1644</v>
      </c>
      <c r="BQ44" s="83">
        <f t="shared" si="72"/>
        <v>487</v>
      </c>
      <c r="BR44" s="83">
        <f t="shared" si="89"/>
        <v>1659.2251980445858</v>
      </c>
      <c r="BS44" s="83">
        <f t="shared" si="73"/>
        <v>502.2251980445858</v>
      </c>
      <c r="BT44" s="32">
        <f t="shared" si="74"/>
        <v>2025.4691066816272</v>
      </c>
      <c r="BU44" s="83">
        <f t="shared" si="75"/>
        <v>868.46910668162718</v>
      </c>
      <c r="BV44" s="32">
        <f>AVERAGE(Timeline!AD209:AP209)</f>
        <v>-72.372425556802256</v>
      </c>
      <c r="BW44" s="32">
        <f t="shared" si="90"/>
        <v>1436.9887091806115</v>
      </c>
      <c r="BX44" s="83">
        <f t="shared" si="76"/>
        <v>279.98870918061152</v>
      </c>
    </row>
    <row r="45" spans="1:76" s="166" customFormat="1" x14ac:dyDescent="0.2">
      <c r="A45" s="166">
        <f t="shared" si="82"/>
        <v>44</v>
      </c>
      <c r="B45" s="166" t="str">
        <f t="shared" si="43"/>
        <v>Adriano Panatta</v>
      </c>
      <c r="C45" s="166" t="s">
        <v>247</v>
      </c>
      <c r="D45" s="166" t="s">
        <v>248</v>
      </c>
      <c r="E45" s="166" t="s">
        <v>249</v>
      </c>
      <c r="F45" s="166">
        <f>VLOOKUP(B45&amp;"5",Data!A34:C268,3,FALSE)</f>
        <v>1077</v>
      </c>
      <c r="G45" s="166">
        <f t="shared" si="44"/>
        <v>63</v>
      </c>
      <c r="H45" s="166">
        <f t="shared" si="45"/>
        <v>30</v>
      </c>
      <c r="I45" s="45">
        <f t="shared" si="46"/>
        <v>0.67741935483870963</v>
      </c>
      <c r="J45" s="54">
        <f>MAX(Data!D208:Z211)</f>
        <v>449</v>
      </c>
      <c r="K45" s="54">
        <f>MAX(Data!D212:Z212)</f>
        <v>301</v>
      </c>
      <c r="L45" s="46">
        <f t="shared" si="47"/>
        <v>56.161290322580648</v>
      </c>
      <c r="M45" s="12">
        <f t="shared" si="48"/>
        <v>76.928571428571431</v>
      </c>
      <c r="N45" s="12">
        <f t="shared" si="49"/>
        <v>34.741935483870968</v>
      </c>
      <c r="O45" s="12">
        <f t="shared" si="50"/>
        <v>17.095238095238095</v>
      </c>
      <c r="P45" s="32">
        <v>1950</v>
      </c>
      <c r="Q45" s="166">
        <f t="shared" si="91"/>
        <v>14</v>
      </c>
      <c r="R45" s="166">
        <v>1969</v>
      </c>
      <c r="S45" s="166">
        <v>1982</v>
      </c>
      <c r="T45" s="32">
        <f>VLOOKUP($B45&amp;"1",Data!$A:$AB,27, FALSE)</f>
        <v>-80</v>
      </c>
      <c r="U45" s="32">
        <f>VLOOKUP($B45&amp;"2",Data!$A:$AB,27, FALSE)</f>
        <v>1107</v>
      </c>
      <c r="V45" s="32">
        <f>VLOOKUP($B45&amp;"3",Data!$A:$AB,27, FALSE)</f>
        <v>178</v>
      </c>
      <c r="W45" s="32">
        <f>VLOOKUP($B45&amp;"4",Data!$A:$AB,27, FALSE)</f>
        <v>-128</v>
      </c>
      <c r="X45" s="32">
        <f t="shared" si="83"/>
        <v>46</v>
      </c>
      <c r="Y45" s="32">
        <f t="shared" si="84"/>
        <v>18</v>
      </c>
      <c r="Z45" s="32">
        <f t="shared" si="85"/>
        <v>36</v>
      </c>
      <c r="AA45" s="32">
        <f t="shared" si="86"/>
        <v>45</v>
      </c>
      <c r="AB45" s="32">
        <f>VLOOKUP($B45&amp;"1",Data!$A:$AB,28, FALSE)</f>
        <v>1</v>
      </c>
      <c r="AC45" s="32">
        <f>VLOOKUP($B45&amp;"2",Data!$A:$AB,28, FALSE)</f>
        <v>14</v>
      </c>
      <c r="AD45" s="32">
        <f>VLOOKUP($B45&amp;"3",Data!$A:$AB,28, FALSE)</f>
        <v>9</v>
      </c>
      <c r="AE45" s="32">
        <f>VLOOKUP($B45&amp;"4",Data!$A:$AB,28, FALSE)</f>
        <v>7</v>
      </c>
      <c r="AF45" s="32">
        <f t="shared" si="80"/>
        <v>-80</v>
      </c>
      <c r="AG45" s="32">
        <f t="shared" si="77"/>
        <v>79.071428571428569</v>
      </c>
      <c r="AH45" s="32">
        <f t="shared" si="78"/>
        <v>19.777777777777779</v>
      </c>
      <c r="AI45" s="32">
        <f t="shared" si="79"/>
        <v>-18.285714285714285</v>
      </c>
      <c r="AJ45" s="166">
        <v>31</v>
      </c>
      <c r="AK45" s="166">
        <v>25</v>
      </c>
      <c r="AL45" s="166">
        <v>19</v>
      </c>
      <c r="AM45" s="166">
        <v>8</v>
      </c>
      <c r="AN45" s="166">
        <v>6</v>
      </c>
      <c r="AO45" s="166">
        <v>3</v>
      </c>
      <c r="AP45" s="166">
        <v>1</v>
      </c>
      <c r="AQ45" s="166">
        <v>1</v>
      </c>
      <c r="AR45" s="12">
        <f>AVERAGE(Data!K209)</f>
        <v>449</v>
      </c>
      <c r="AS45" s="12"/>
      <c r="AT45" s="12">
        <f>AVERAGE(Data!H209,Data!J209)</f>
        <v>261.5</v>
      </c>
      <c r="AU45" s="12">
        <f>AVERAGE(Data!G209,Data!L209,Data!N210)</f>
        <v>100</v>
      </c>
      <c r="AV45" s="12">
        <f>AVERAGE(Data!D208:F210,Data!G210:H211,Data!I209:I210,Data!J210:M211,Data!M209:Q209,Data!N211,Data!O210:P211)</f>
        <v>-7.8</v>
      </c>
      <c r="AW45" s="166">
        <f t="shared" si="56"/>
        <v>1</v>
      </c>
      <c r="AX45" s="166">
        <f t="shared" si="57"/>
        <v>0</v>
      </c>
      <c r="AY45" s="166">
        <f t="shared" si="58"/>
        <v>2</v>
      </c>
      <c r="AZ45" s="166">
        <f t="shared" si="59"/>
        <v>3</v>
      </c>
      <c r="BA45" s="32">
        <f t="shared" si="60"/>
        <v>25</v>
      </c>
      <c r="BB45" s="32">
        <f t="shared" si="61"/>
        <v>449</v>
      </c>
      <c r="BC45" s="32">
        <f t="shared" si="62"/>
        <v>0</v>
      </c>
      <c r="BD45" s="32">
        <f t="shared" si="63"/>
        <v>523</v>
      </c>
      <c r="BE45" s="32">
        <f t="shared" si="64"/>
        <v>300</v>
      </c>
      <c r="BF45" s="32">
        <f t="shared" si="65"/>
        <v>-195</v>
      </c>
      <c r="BG45" s="32">
        <f t="shared" si="87"/>
        <v>1562.847828232686</v>
      </c>
      <c r="BH45" s="166">
        <f t="shared" si="66"/>
        <v>1077</v>
      </c>
      <c r="BI45" s="83">
        <f t="shared" si="67"/>
        <v>485.84782823268597</v>
      </c>
      <c r="BJ45" s="166">
        <f t="shared" si="68"/>
        <v>31</v>
      </c>
      <c r="BK45" s="166">
        <v>0</v>
      </c>
      <c r="BL45" s="32">
        <f>BH45-(BJ45*Timeline!$AG$202)-(BK45*Timeline!$AK$202)</f>
        <v>1638.549090183049</v>
      </c>
      <c r="BM45" s="83">
        <f t="shared" si="69"/>
        <v>561.54909018304897</v>
      </c>
      <c r="BN45" s="32">
        <f t="shared" si="88"/>
        <v>1242.9455521135255</v>
      </c>
      <c r="BO45" s="83">
        <f t="shared" si="70"/>
        <v>165.94555211352554</v>
      </c>
      <c r="BP45" s="32">
        <f t="shared" si="71"/>
        <v>678</v>
      </c>
      <c r="BQ45" s="83">
        <f t="shared" si="72"/>
        <v>-399</v>
      </c>
      <c r="BR45" s="83">
        <f t="shared" si="89"/>
        <v>693.2251980445858</v>
      </c>
      <c r="BS45" s="83">
        <f t="shared" si="73"/>
        <v>-383.7748019554142</v>
      </c>
      <c r="BT45" s="32">
        <f t="shared" si="74"/>
        <v>1431.5725226057202</v>
      </c>
      <c r="BU45" s="83">
        <f t="shared" si="75"/>
        <v>354.57252260572022</v>
      </c>
      <c r="BV45" s="32">
        <f>AVERAGE(Timeline!C209:P209)</f>
        <v>-27.274809431209238</v>
      </c>
      <c r="BW45" s="32">
        <f t="shared" si="90"/>
        <v>843.09212510470456</v>
      </c>
      <c r="BX45" s="83">
        <f t="shared" si="76"/>
        <v>-233.90787489529544</v>
      </c>
    </row>
    <row r="46" spans="1:76" s="169" customFormat="1" x14ac:dyDescent="0.2">
      <c r="A46" s="169">
        <f t="shared" si="82"/>
        <v>45</v>
      </c>
      <c r="B46" s="169" t="str">
        <f t="shared" si="43"/>
        <v>Sergi Bruguera</v>
      </c>
      <c r="C46" s="169" t="s">
        <v>218</v>
      </c>
      <c r="D46" s="169" t="s">
        <v>219</v>
      </c>
      <c r="E46" s="169" t="s">
        <v>30</v>
      </c>
      <c r="F46" s="169">
        <f>VLOOKUP(B46&amp;"5",Data!A34:C268,3,FALSE)</f>
        <v>625</v>
      </c>
      <c r="G46" s="169">
        <f t="shared" si="44"/>
        <v>67</v>
      </c>
      <c r="H46" s="169">
        <f t="shared" si="45"/>
        <v>31</v>
      </c>
      <c r="I46" s="45">
        <f t="shared" si="46"/>
        <v>0.68367346938775508</v>
      </c>
      <c r="J46" s="54">
        <f>MAX(Data!D158:Z161)</f>
        <v>492</v>
      </c>
      <c r="K46" s="54">
        <f>MAX(Data!D162:Z162)</f>
        <v>603</v>
      </c>
      <c r="L46" s="46">
        <f t="shared" si="47"/>
        <v>61.989795918367349</v>
      </c>
      <c r="M46" s="12">
        <f t="shared" si="48"/>
        <v>48.07692307692308</v>
      </c>
      <c r="N46" s="12">
        <f t="shared" si="49"/>
        <v>18.939393939393938</v>
      </c>
      <c r="O46" s="12">
        <f t="shared" si="50"/>
        <v>9.3283582089552244</v>
      </c>
      <c r="P46" s="32">
        <v>1971</v>
      </c>
      <c r="Q46" s="169">
        <f t="shared" si="91"/>
        <v>13</v>
      </c>
      <c r="R46" s="169">
        <v>1989</v>
      </c>
      <c r="S46" s="169">
        <v>2001</v>
      </c>
      <c r="T46" s="32">
        <f>VLOOKUP($B46&amp;"1",Data!$A:$AB,27, FALSE)</f>
        <v>62</v>
      </c>
      <c r="U46" s="32">
        <f>VLOOKUP($B46&amp;"2",Data!$A:$AB,27, FALSE)</f>
        <v>1080</v>
      </c>
      <c r="V46" s="32">
        <f>VLOOKUP($B46&amp;"3",Data!$A:$AB,27, FALSE)</f>
        <v>-124</v>
      </c>
      <c r="W46" s="32">
        <f>VLOOKUP($B46&amp;"4",Data!$A:$AB,27, FALSE)</f>
        <v>-294</v>
      </c>
      <c r="X46" s="32">
        <f t="shared" si="83"/>
        <v>39</v>
      </c>
      <c r="Y46" s="32">
        <f t="shared" si="84"/>
        <v>19</v>
      </c>
      <c r="Z46" s="32">
        <f t="shared" si="85"/>
        <v>44</v>
      </c>
      <c r="AA46" s="32">
        <f t="shared" si="86"/>
        <v>48</v>
      </c>
      <c r="AB46" s="32">
        <f>VLOOKUP($B46&amp;"1",Data!$A:$AB,28, FALSE)</f>
        <v>6</v>
      </c>
      <c r="AC46" s="32">
        <f>VLOOKUP($B46&amp;"2",Data!$A:$AB,28, FALSE)</f>
        <v>12</v>
      </c>
      <c r="AD46" s="32">
        <f>VLOOKUP($B46&amp;"3",Data!$A:$AB,28, FALSE)</f>
        <v>4</v>
      </c>
      <c r="AE46" s="32">
        <f>VLOOKUP($B46&amp;"4",Data!$A:$AB,28, FALSE)</f>
        <v>11</v>
      </c>
      <c r="AF46" s="32">
        <f t="shared" si="80"/>
        <v>10.333333333333334</v>
      </c>
      <c r="AG46" s="32">
        <f t="shared" si="77"/>
        <v>90</v>
      </c>
      <c r="AH46" s="32">
        <f t="shared" si="78"/>
        <v>-31</v>
      </c>
      <c r="AI46" s="32">
        <f t="shared" si="79"/>
        <v>-26.727272727272727</v>
      </c>
      <c r="AJ46" s="169">
        <v>33</v>
      </c>
      <c r="AK46" s="169">
        <v>26</v>
      </c>
      <c r="AL46" s="169">
        <v>15</v>
      </c>
      <c r="AM46" s="169">
        <v>13</v>
      </c>
      <c r="AN46" s="169">
        <v>4</v>
      </c>
      <c r="AO46" s="169">
        <v>4</v>
      </c>
      <c r="AP46" s="169">
        <v>3</v>
      </c>
      <c r="AQ46" s="169">
        <v>2</v>
      </c>
      <c r="AR46" s="12">
        <f>AVERAGE(Timeline!AA127:AB127)</f>
        <v>453</v>
      </c>
      <c r="AS46" s="12">
        <f>AVERAGE(Timeline!AE127)</f>
        <v>221</v>
      </c>
      <c r="AT46" s="12">
        <f>AVERAGE(Timeline!AC127)</f>
        <v>257</v>
      </c>
      <c r="AU46" s="12"/>
      <c r="AV46" s="12">
        <f>AVERAGE(Timeline!W126:Z129,Timeline!AA126:AI126,Timeline!AA128:AI129,Timeline!AD127,Timeline!AF127:AI127)</f>
        <v>-22.758620689655171</v>
      </c>
      <c r="AW46" s="169">
        <f t="shared" si="56"/>
        <v>2</v>
      </c>
      <c r="AX46" s="169">
        <f t="shared" si="57"/>
        <v>1</v>
      </c>
      <c r="AY46" s="169">
        <f t="shared" si="58"/>
        <v>1</v>
      </c>
      <c r="AZ46" s="169">
        <f t="shared" si="59"/>
        <v>0</v>
      </c>
      <c r="BA46" s="32">
        <f t="shared" si="60"/>
        <v>29</v>
      </c>
      <c r="BB46" s="32">
        <f t="shared" si="61"/>
        <v>906</v>
      </c>
      <c r="BC46" s="32">
        <f t="shared" si="62"/>
        <v>221</v>
      </c>
      <c r="BD46" s="32">
        <f t="shared" si="63"/>
        <v>257</v>
      </c>
      <c r="BE46" s="32">
        <f t="shared" si="64"/>
        <v>0</v>
      </c>
      <c r="BF46" s="32">
        <f t="shared" si="65"/>
        <v>-660</v>
      </c>
      <c r="BG46" s="32">
        <f t="shared" si="87"/>
        <v>1697.3455017273063</v>
      </c>
      <c r="BH46" s="169">
        <f t="shared" si="66"/>
        <v>625</v>
      </c>
      <c r="BI46" s="83">
        <f t="shared" si="67"/>
        <v>1072.3455017273063</v>
      </c>
      <c r="BJ46" s="169">
        <f t="shared" si="68"/>
        <v>16</v>
      </c>
      <c r="BK46" s="169">
        <f>AJ46-COUNT(Timeline!D140:AH143)-2</f>
        <v>17</v>
      </c>
      <c r="BL46" s="32">
        <f>BH46-(BJ46*Timeline!$AG$202)-(BK46*Timeline!$AK$202)</f>
        <v>833.58094872172444</v>
      </c>
      <c r="BM46" s="83">
        <f t="shared" si="69"/>
        <v>208.58094872172444</v>
      </c>
      <c r="BN46" s="32">
        <f t="shared" si="88"/>
        <v>437.97741065220089</v>
      </c>
      <c r="BO46" s="83">
        <f t="shared" si="70"/>
        <v>-187.02258934779911</v>
      </c>
      <c r="BP46" s="32">
        <f t="shared" si="71"/>
        <v>1802</v>
      </c>
      <c r="BQ46" s="83">
        <f t="shared" si="72"/>
        <v>1177</v>
      </c>
      <c r="BR46" s="83">
        <f t="shared" si="89"/>
        <v>1817.2251980445858</v>
      </c>
      <c r="BS46" s="83">
        <f t="shared" si="73"/>
        <v>1192.2251980445858</v>
      </c>
      <c r="BT46" s="32">
        <f t="shared" si="74"/>
        <v>1782.0184669500818</v>
      </c>
      <c r="BU46" s="83">
        <f t="shared" si="75"/>
        <v>1157.0184669500818</v>
      </c>
      <c r="BV46" s="32">
        <f>AVERAGE(Timeline!W209:AI209)</f>
        <v>-96.418205579173474</v>
      </c>
      <c r="BW46" s="32">
        <f t="shared" si="90"/>
        <v>1193.5380694490661</v>
      </c>
      <c r="BX46" s="83">
        <f t="shared" si="76"/>
        <v>568.53806944906614</v>
      </c>
    </row>
    <row r="47" spans="1:76" s="172" customFormat="1" x14ac:dyDescent="0.2">
      <c r="A47" s="172">
        <f t="shared" si="82"/>
        <v>46</v>
      </c>
      <c r="B47" s="172" t="str">
        <f t="shared" si="43"/>
        <v>Andres Gomez</v>
      </c>
      <c r="C47" s="172" t="s">
        <v>236</v>
      </c>
      <c r="D47" s="172" t="s">
        <v>271</v>
      </c>
      <c r="E47" s="172" t="s">
        <v>272</v>
      </c>
      <c r="F47" s="172">
        <f>VLOOKUP(B47&amp;"5",Data!A38:C272,3,FALSE)</f>
        <v>568</v>
      </c>
      <c r="G47" s="172">
        <f t="shared" si="44"/>
        <v>62</v>
      </c>
      <c r="H47" s="172">
        <f t="shared" si="45"/>
        <v>31</v>
      </c>
      <c r="I47" s="45">
        <f t="shared" si="46"/>
        <v>0.66666666666666663</v>
      </c>
      <c r="J47" s="54">
        <f>MAX(Data!D238:Q241)</f>
        <v>288</v>
      </c>
      <c r="K47" s="54">
        <f>MAX(Data!D242:Q242)</f>
        <v>435</v>
      </c>
      <c r="L47" s="46">
        <f t="shared" si="47"/>
        <v>60.55913978494624</v>
      </c>
      <c r="M47" s="12">
        <f t="shared" si="48"/>
        <v>40.571428571428569</v>
      </c>
      <c r="N47" s="12">
        <f t="shared" si="49"/>
        <v>17.75</v>
      </c>
      <c r="O47" s="12">
        <f t="shared" si="50"/>
        <v>9.1612903225806459</v>
      </c>
      <c r="P47" s="32">
        <v>1960</v>
      </c>
      <c r="Q47" s="172">
        <f t="shared" si="91"/>
        <v>14</v>
      </c>
      <c r="R47" s="172">
        <v>1979</v>
      </c>
      <c r="S47" s="172">
        <v>1992</v>
      </c>
      <c r="T47" s="32">
        <f>VLOOKUP($B47&amp;"1",Data!$A:$AB,27, FALSE)</f>
        <v>-119</v>
      </c>
      <c r="U47" s="32">
        <f>VLOOKUP($B47&amp;"2",Data!$A:$AB,27, FALSE)</f>
        <v>681</v>
      </c>
      <c r="V47" s="32">
        <f>VLOOKUP($B47&amp;"3",Data!$A:$AB,27, FALSE)</f>
        <v>-217</v>
      </c>
      <c r="W47" s="32">
        <f>VLOOKUP($B47&amp;"4",Data!$A:$AB,27, FALSE)</f>
        <v>223</v>
      </c>
      <c r="X47" s="32">
        <f t="shared" si="83"/>
        <v>47</v>
      </c>
      <c r="Y47" s="32">
        <f t="shared" si="84"/>
        <v>34</v>
      </c>
      <c r="Z47" s="32">
        <f t="shared" si="85"/>
        <v>45</v>
      </c>
      <c r="AA47" s="32">
        <f t="shared" si="86"/>
        <v>40</v>
      </c>
      <c r="AB47" s="32">
        <f>VLOOKUP($B47&amp;"1",Data!$A:$AB,28, FALSE)</f>
        <v>2</v>
      </c>
      <c r="AC47" s="32">
        <f>VLOOKUP($B47&amp;"2",Data!$A:$AB,28, FALSE)</f>
        <v>12</v>
      </c>
      <c r="AD47" s="32">
        <f>VLOOKUP($B47&amp;"3",Data!$A:$AB,28, FALSE)</f>
        <v>7</v>
      </c>
      <c r="AE47" s="32">
        <f>VLOOKUP($B47&amp;"4",Data!$A:$AB,28, FALSE)</f>
        <v>11</v>
      </c>
      <c r="AF47" s="32">
        <f t="shared" si="80"/>
        <v>-59.5</v>
      </c>
      <c r="AG47" s="32">
        <f t="shared" si="77"/>
        <v>56.75</v>
      </c>
      <c r="AH47" s="32">
        <f t="shared" si="78"/>
        <v>-31</v>
      </c>
      <c r="AI47" s="32">
        <f t="shared" si="79"/>
        <v>20.272727272727273</v>
      </c>
      <c r="AJ47" s="172">
        <v>32</v>
      </c>
      <c r="AK47" s="172">
        <v>25</v>
      </c>
      <c r="AL47" s="172">
        <v>16</v>
      </c>
      <c r="AM47" s="172">
        <v>12</v>
      </c>
      <c r="AN47" s="172">
        <v>6</v>
      </c>
      <c r="AO47" s="172">
        <v>1</v>
      </c>
      <c r="AP47" s="172">
        <v>1</v>
      </c>
      <c r="AQ47" s="172">
        <v>1</v>
      </c>
      <c r="AR47" s="12">
        <f>AVERAGE(Data!O239)</f>
        <v>288</v>
      </c>
      <c r="AS47" s="12"/>
      <c r="AT47" s="12"/>
      <c r="AU47" s="12">
        <f>AVERAGE(Data!I239:I241,Data!K239:L239)</f>
        <v>113.6</v>
      </c>
      <c r="AV47" s="12">
        <f>AVERAGE(Data!D239:H241,Data!J239,Data!K240:P241,Data!M239:N239,Data!O238,Data!Q238:Q239)</f>
        <v>-11.076923076923077</v>
      </c>
      <c r="AW47" s="172">
        <f t="shared" si="56"/>
        <v>1</v>
      </c>
      <c r="AX47" s="172">
        <f t="shared" si="57"/>
        <v>0</v>
      </c>
      <c r="AY47" s="172">
        <f t="shared" si="58"/>
        <v>0</v>
      </c>
      <c r="AZ47" s="172">
        <f t="shared" si="59"/>
        <v>5</v>
      </c>
      <c r="BA47" s="32">
        <f t="shared" si="60"/>
        <v>26</v>
      </c>
      <c r="BB47" s="32">
        <f t="shared" si="61"/>
        <v>288</v>
      </c>
      <c r="BC47" s="32">
        <f t="shared" si="62"/>
        <v>0</v>
      </c>
      <c r="BD47" s="32">
        <f t="shared" si="63"/>
        <v>0</v>
      </c>
      <c r="BE47" s="32">
        <f t="shared" si="64"/>
        <v>568</v>
      </c>
      <c r="BF47" s="32">
        <f t="shared" si="65"/>
        <v>-288</v>
      </c>
      <c r="BG47" s="32">
        <f t="shared" si="87"/>
        <v>1405.8612225577679</v>
      </c>
      <c r="BH47" s="172">
        <f t="shared" si="66"/>
        <v>568</v>
      </c>
      <c r="BI47" s="83">
        <f t="shared" si="67"/>
        <v>837.86122255776786</v>
      </c>
      <c r="BJ47" s="172">
        <f t="shared" si="68"/>
        <v>32</v>
      </c>
      <c r="BK47" s="172">
        <v>0</v>
      </c>
      <c r="BL47" s="32">
        <f>BH47-(BJ47*Timeline!$AG$202)-(BK47*Timeline!$AK$202)</f>
        <v>1147.6635769631473</v>
      </c>
      <c r="BM47" s="83">
        <f t="shared" si="69"/>
        <v>579.66357696314731</v>
      </c>
      <c r="BN47" s="32">
        <f t="shared" si="88"/>
        <v>752.06003889362376</v>
      </c>
      <c r="BO47" s="83">
        <f t="shared" si="70"/>
        <v>184.06003889362376</v>
      </c>
      <c r="BP47" s="32">
        <f t="shared" si="71"/>
        <v>898</v>
      </c>
      <c r="BQ47" s="83">
        <f t="shared" si="72"/>
        <v>330</v>
      </c>
      <c r="BR47" s="83">
        <f t="shared" si="89"/>
        <v>913.2251980445858</v>
      </c>
      <c r="BS47" s="83">
        <f t="shared" si="73"/>
        <v>345.2251980445858</v>
      </c>
      <c r="BT47" s="32">
        <f t="shared" si="74"/>
        <v>656.94450958620951</v>
      </c>
      <c r="BU47" s="83">
        <f t="shared" si="75"/>
        <v>88.944509586209506</v>
      </c>
      <c r="BV47" s="32">
        <f>AVERAGE(Timeline!M204:Z204)</f>
        <v>-6.8418853527853418</v>
      </c>
      <c r="BW47" s="32">
        <f t="shared" si="90"/>
        <v>68.464112085193847</v>
      </c>
      <c r="BX47" s="83">
        <f t="shared" si="76"/>
        <v>-499.53588791480615</v>
      </c>
    </row>
    <row r="48" spans="1:76" s="175" customFormat="1" x14ac:dyDescent="0.2">
      <c r="A48" s="175">
        <f t="shared" si="82"/>
        <v>47</v>
      </c>
      <c r="B48" s="175" t="str">
        <f t="shared" si="43"/>
        <v>Brian Teacher</v>
      </c>
      <c r="C48" s="175" t="s">
        <v>254</v>
      </c>
      <c r="D48" s="175" t="s">
        <v>255</v>
      </c>
      <c r="E48" s="175" t="s">
        <v>31</v>
      </c>
      <c r="F48" s="175">
        <f>VLOOKUP(B48&amp;"5",Data!A37:C271,3,FALSE)</f>
        <v>205</v>
      </c>
      <c r="G48" s="175">
        <f t="shared" si="44"/>
        <v>46</v>
      </c>
      <c r="H48" s="175">
        <f t="shared" si="45"/>
        <v>31</v>
      </c>
      <c r="I48" s="45">
        <f t="shared" si="46"/>
        <v>0.59740259740259738</v>
      </c>
      <c r="J48" s="54">
        <f>MAX(Data!D223:Z226)</f>
        <v>333</v>
      </c>
      <c r="K48" s="54">
        <f>MAX(Data!D227:Z227)</f>
        <v>430</v>
      </c>
      <c r="L48" s="46">
        <f t="shared" si="47"/>
        <v>57.077922077922075</v>
      </c>
      <c r="M48" s="12">
        <f t="shared" si="48"/>
        <v>14.642857142857142</v>
      </c>
      <c r="N48" s="12">
        <f t="shared" si="49"/>
        <v>6.40625</v>
      </c>
      <c r="O48" s="12">
        <f t="shared" si="50"/>
        <v>4.4565217391304346</v>
      </c>
      <c r="P48" s="32">
        <v>1954</v>
      </c>
      <c r="Q48" s="175">
        <f t="shared" si="91"/>
        <v>14</v>
      </c>
      <c r="R48" s="175">
        <v>1973</v>
      </c>
      <c r="S48" s="175">
        <v>1986</v>
      </c>
      <c r="T48" s="32">
        <f>VLOOKUP($B48&amp;"1",Data!$A:$AB,27, FALSE)</f>
        <v>412</v>
      </c>
      <c r="U48" s="32">
        <f>VLOOKUP($B48&amp;"2",Data!$A:$AB,27, FALSE)</f>
        <v>-94</v>
      </c>
      <c r="V48" s="32">
        <f>VLOOKUP($B48&amp;"3",Data!$A:$AB,27, FALSE)</f>
        <v>123</v>
      </c>
      <c r="W48" s="32">
        <f>VLOOKUP($B48&amp;"4",Data!$A:$AB,27, FALSE)</f>
        <v>-236</v>
      </c>
      <c r="X48" s="32">
        <f t="shared" si="83"/>
        <v>30</v>
      </c>
      <c r="Y48" s="32">
        <f t="shared" si="84"/>
        <v>45</v>
      </c>
      <c r="Z48" s="32">
        <f t="shared" si="85"/>
        <v>38</v>
      </c>
      <c r="AA48" s="32">
        <f t="shared" si="86"/>
        <v>46</v>
      </c>
      <c r="AB48" s="32">
        <f>VLOOKUP($B48&amp;"1",Data!$A:$AB,28, FALSE)</f>
        <v>4</v>
      </c>
      <c r="AC48" s="32">
        <f>VLOOKUP($B48&amp;"2",Data!$A:$AB,28, FALSE)</f>
        <v>3</v>
      </c>
      <c r="AD48" s="32">
        <f>VLOOKUP($B48&amp;"3",Data!$A:$AB,28, FALSE)</f>
        <v>11</v>
      </c>
      <c r="AE48" s="32">
        <f>VLOOKUP($B48&amp;"4",Data!$A:$AB,28, FALSE)</f>
        <v>14</v>
      </c>
      <c r="AF48" s="32">
        <f t="shared" si="80"/>
        <v>103</v>
      </c>
      <c r="AG48" s="32">
        <f t="shared" si="77"/>
        <v>-31.333333333333332</v>
      </c>
      <c r="AH48" s="32">
        <f t="shared" si="78"/>
        <v>11.181818181818182</v>
      </c>
      <c r="AI48" s="32">
        <f t="shared" si="79"/>
        <v>-16.857142857142858</v>
      </c>
      <c r="AJ48" s="175">
        <v>32</v>
      </c>
      <c r="AK48" s="175">
        <v>22</v>
      </c>
      <c r="AL48" s="175">
        <v>12</v>
      </c>
      <c r="AM48" s="175">
        <v>6</v>
      </c>
      <c r="AN48" s="175">
        <v>3</v>
      </c>
      <c r="AO48" s="175">
        <v>1</v>
      </c>
      <c r="AP48" s="175">
        <v>1</v>
      </c>
      <c r="AQ48" s="175">
        <v>1</v>
      </c>
      <c r="AR48" s="12">
        <f>AVERAGE(Data!K223)</f>
        <v>333</v>
      </c>
      <c r="AS48" s="12"/>
      <c r="AT48" s="12"/>
      <c r="AU48" s="12">
        <f>AVERAGE(Data!M223:M225)</f>
        <v>148.5</v>
      </c>
      <c r="AV48" s="12">
        <f>AVERAGE(Data!D226:Q226,Data!G224:L225,Data!H223,Data!N223:Q225)</f>
        <v>-14.655172413793103</v>
      </c>
      <c r="AW48" s="175">
        <f t="shared" si="56"/>
        <v>1</v>
      </c>
      <c r="AX48" s="175">
        <f t="shared" si="57"/>
        <v>0</v>
      </c>
      <c r="AY48" s="175">
        <f t="shared" si="58"/>
        <v>0</v>
      </c>
      <c r="AZ48" s="175">
        <f t="shared" si="59"/>
        <v>2</v>
      </c>
      <c r="BA48" s="32">
        <f t="shared" si="60"/>
        <v>29</v>
      </c>
      <c r="BB48" s="32">
        <f t="shared" si="61"/>
        <v>333</v>
      </c>
      <c r="BC48" s="32">
        <f t="shared" si="62"/>
        <v>0</v>
      </c>
      <c r="BD48" s="32">
        <f t="shared" si="63"/>
        <v>0</v>
      </c>
      <c r="BE48" s="32">
        <f t="shared" si="64"/>
        <v>297</v>
      </c>
      <c r="BF48" s="32">
        <f t="shared" si="65"/>
        <v>-425</v>
      </c>
      <c r="BG48" s="32">
        <f t="shared" si="87"/>
        <v>961.33398508796131</v>
      </c>
      <c r="BH48" s="175">
        <f t="shared" si="66"/>
        <v>205</v>
      </c>
      <c r="BI48" s="83">
        <f t="shared" si="67"/>
        <v>756.33398508796131</v>
      </c>
      <c r="BJ48" s="175">
        <f t="shared" si="68"/>
        <v>32</v>
      </c>
      <c r="BK48" s="175">
        <v>0</v>
      </c>
      <c r="BL48" s="32">
        <f>BH48-(BJ48*Timeline!$AG$202)-(BK48*Timeline!$AK$202)</f>
        <v>784.66357696314731</v>
      </c>
      <c r="BM48" s="83">
        <f t="shared" si="69"/>
        <v>579.66357696314731</v>
      </c>
      <c r="BN48" s="32">
        <f t="shared" si="88"/>
        <v>389.06003889362376</v>
      </c>
      <c r="BO48" s="83">
        <f t="shared" si="70"/>
        <v>184.06003889362376</v>
      </c>
      <c r="BP48" s="32">
        <f t="shared" si="71"/>
        <v>122</v>
      </c>
      <c r="BQ48" s="83">
        <f t="shared" si="72"/>
        <v>-83</v>
      </c>
      <c r="BR48" s="83">
        <f t="shared" si="89"/>
        <v>137.2251980445858</v>
      </c>
      <c r="BS48" s="83">
        <f t="shared" si="73"/>
        <v>-67.774801955414205</v>
      </c>
      <c r="BT48" s="32">
        <f t="shared" si="74"/>
        <v>1300.5758389322507</v>
      </c>
      <c r="BU48" s="83">
        <f t="shared" si="75"/>
        <v>1095.5758389322507</v>
      </c>
      <c r="BV48" s="32">
        <f>AVERAGE(Timeline!G209:T209)</f>
        <v>-84.27506453325006</v>
      </c>
      <c r="BW48" s="32">
        <f t="shared" si="90"/>
        <v>712.09544143123503</v>
      </c>
      <c r="BX48" s="83">
        <f t="shared" si="76"/>
        <v>507.09544143123503</v>
      </c>
    </row>
    <row r="49" spans="1:76" s="175" customFormat="1" x14ac:dyDescent="0.2">
      <c r="A49" s="175">
        <f t="shared" si="82"/>
        <v>48</v>
      </c>
      <c r="B49" s="175" t="str">
        <f t="shared" si="43"/>
        <v>Mark Edmondson</v>
      </c>
      <c r="C49" s="175" t="s">
        <v>245</v>
      </c>
      <c r="D49" s="175" t="s">
        <v>246</v>
      </c>
      <c r="E49" s="175" t="s">
        <v>147</v>
      </c>
      <c r="F49" s="175">
        <f>VLOOKUP(B49&amp;"5",Data!A35:C269,3,FALSE)</f>
        <v>-58</v>
      </c>
      <c r="G49" s="175">
        <f t="shared" si="44"/>
        <v>50</v>
      </c>
      <c r="H49" s="175">
        <f t="shared" si="45"/>
        <v>37</v>
      </c>
      <c r="I49" s="45">
        <f t="shared" si="46"/>
        <v>0.57471264367816088</v>
      </c>
      <c r="J49" s="54">
        <f>MAX(Data!D203:Z206)</f>
        <v>528</v>
      </c>
      <c r="K49" s="54">
        <f>MAX(Data!D207:Z207)</f>
        <v>435</v>
      </c>
      <c r="L49" s="46">
        <f t="shared" si="47"/>
        <v>58.137931034482762</v>
      </c>
      <c r="M49" s="12">
        <f t="shared" si="48"/>
        <v>-4.4615384615384617</v>
      </c>
      <c r="N49" s="12">
        <f t="shared" si="49"/>
        <v>-1.5263157894736843</v>
      </c>
      <c r="O49" s="12">
        <f t="shared" si="50"/>
        <v>-1.1599999999999999</v>
      </c>
      <c r="P49" s="32">
        <v>1954</v>
      </c>
      <c r="Q49" s="175">
        <f t="shared" si="91"/>
        <v>13</v>
      </c>
      <c r="R49" s="175">
        <v>1975</v>
      </c>
      <c r="S49" s="175">
        <v>1987</v>
      </c>
      <c r="T49" s="32">
        <f>VLOOKUP($B49&amp;"1",Data!$A:$AB,27, FALSE)</f>
        <v>466</v>
      </c>
      <c r="U49" s="32">
        <f>VLOOKUP($B49&amp;"2",Data!$A:$AB,27, FALSE)</f>
        <v>-429</v>
      </c>
      <c r="V49" s="32">
        <f>VLOOKUP($B49&amp;"3",Data!$A:$AB,27, FALSE)</f>
        <v>189</v>
      </c>
      <c r="W49" s="32">
        <f>VLOOKUP($B49&amp;"4",Data!$A:$AB,27, FALSE)</f>
        <v>-284</v>
      </c>
      <c r="X49" s="32">
        <f t="shared" si="83"/>
        <v>29</v>
      </c>
      <c r="Y49" s="32">
        <f t="shared" si="84"/>
        <v>48</v>
      </c>
      <c r="Z49" s="32">
        <f t="shared" si="85"/>
        <v>34</v>
      </c>
      <c r="AA49" s="32">
        <f t="shared" si="86"/>
        <v>47</v>
      </c>
      <c r="AB49" s="32">
        <f>VLOOKUP($B49&amp;"1",Data!$A:$AB,28, FALSE)</f>
        <v>12</v>
      </c>
      <c r="AC49" s="32">
        <f>VLOOKUP($B49&amp;"2",Data!$A:$AB,28, FALSE)</f>
        <v>8</v>
      </c>
      <c r="AD49" s="32">
        <f>VLOOKUP($B49&amp;"3",Data!$A:$AB,28, FALSE)</f>
        <v>12</v>
      </c>
      <c r="AE49" s="32">
        <f>VLOOKUP($B49&amp;"4",Data!$A:$AB,28, FALSE)</f>
        <v>6</v>
      </c>
      <c r="AF49" s="32">
        <f t="shared" si="80"/>
        <v>38.833333333333336</v>
      </c>
      <c r="AG49" s="32">
        <f t="shared" si="77"/>
        <v>-53.625</v>
      </c>
      <c r="AH49" s="32">
        <f t="shared" si="78"/>
        <v>15.75</v>
      </c>
      <c r="AI49" s="32">
        <f t="shared" si="79"/>
        <v>-47.333333333333336</v>
      </c>
      <c r="AJ49" s="175">
        <v>38</v>
      </c>
      <c r="AK49" s="175">
        <v>22</v>
      </c>
      <c r="AL49" s="175">
        <v>13</v>
      </c>
      <c r="AM49" s="175">
        <v>5</v>
      </c>
      <c r="AN49" s="175">
        <v>5</v>
      </c>
      <c r="AO49" s="175">
        <v>3</v>
      </c>
      <c r="AP49" s="175">
        <v>1</v>
      </c>
      <c r="AQ49" s="175">
        <v>1</v>
      </c>
      <c r="AR49" s="12">
        <f>AVERAGE(Data!E203)</f>
        <v>528</v>
      </c>
      <c r="AS49" s="12"/>
      <c r="AT49" s="12">
        <f>AVERAGE(Data!J203,Data!K205)</f>
        <v>161</v>
      </c>
      <c r="AU49" s="12">
        <f>AVERAGE(Data!H203,Data!F203)</f>
        <v>9</v>
      </c>
      <c r="AV49" s="12">
        <f>AVERAGE(Data!D203:D205,Data!E204:J206,Data!G203,Data!I203,Data!K206,Data!L203:P205,Data!K203)</f>
        <v>-28.060606060606062</v>
      </c>
      <c r="AW49" s="175">
        <f t="shared" si="56"/>
        <v>1</v>
      </c>
      <c r="AX49" s="175">
        <f t="shared" si="57"/>
        <v>0</v>
      </c>
      <c r="AY49" s="175">
        <f t="shared" si="58"/>
        <v>2</v>
      </c>
      <c r="AZ49" s="175">
        <f t="shared" si="59"/>
        <v>2</v>
      </c>
      <c r="BA49" s="32">
        <f t="shared" si="60"/>
        <v>33</v>
      </c>
      <c r="BB49" s="32">
        <f t="shared" si="61"/>
        <v>528</v>
      </c>
      <c r="BC49" s="32">
        <f t="shared" si="62"/>
        <v>0</v>
      </c>
      <c r="BD49" s="32">
        <f t="shared" si="63"/>
        <v>322</v>
      </c>
      <c r="BE49" s="32">
        <f t="shared" si="64"/>
        <v>18</v>
      </c>
      <c r="BF49" s="32">
        <f t="shared" si="65"/>
        <v>-926</v>
      </c>
      <c r="BG49" s="32">
        <f t="shared" si="87"/>
        <v>1461.0605765735838</v>
      </c>
      <c r="BH49" s="175">
        <f t="shared" si="66"/>
        <v>-58</v>
      </c>
      <c r="BI49" s="83">
        <f t="shared" si="67"/>
        <v>1519.0605765735838</v>
      </c>
      <c r="BJ49" s="175">
        <f t="shared" si="68"/>
        <v>38</v>
      </c>
      <c r="BK49" s="175">
        <v>0</v>
      </c>
      <c r="BL49" s="32">
        <f>BH49-(BJ49*Timeline!$AG$202)-(BK49*Timeline!$AK$202)</f>
        <v>630.35049764373741</v>
      </c>
      <c r="BM49" s="83">
        <f t="shared" si="69"/>
        <v>688.35049764373741</v>
      </c>
      <c r="BN49" s="32">
        <f t="shared" si="88"/>
        <v>234.74695957421386</v>
      </c>
      <c r="BO49" s="83">
        <f t="shared" si="70"/>
        <v>292.74695957421386</v>
      </c>
      <c r="BP49" s="32">
        <f t="shared" si="71"/>
        <v>-284</v>
      </c>
      <c r="BQ49" s="83">
        <f t="shared" si="72"/>
        <v>-226</v>
      </c>
      <c r="BR49" s="83">
        <f t="shared" si="89"/>
        <v>-268.7748019554142</v>
      </c>
      <c r="BS49" s="83">
        <f t="shared" si="73"/>
        <v>-210.7748019554142</v>
      </c>
      <c r="BT49" s="32">
        <f t="shared" si="74"/>
        <v>1026.6289533628942</v>
      </c>
      <c r="BU49" s="83">
        <f t="shared" si="75"/>
        <v>1084.6289533628942</v>
      </c>
      <c r="BV49" s="32">
        <f>AVERAGE(Timeline!I209:U209)</f>
        <v>-90.385746113574513</v>
      </c>
      <c r="BW49" s="32">
        <f t="shared" si="90"/>
        <v>438.14855586187855</v>
      </c>
      <c r="BX49" s="83">
        <f t="shared" si="76"/>
        <v>496.14855586187855</v>
      </c>
    </row>
    <row r="50" spans="1:76" s="178" customFormat="1" x14ac:dyDescent="0.2">
      <c r="A50" s="178">
        <f t="shared" si="82"/>
        <v>35</v>
      </c>
      <c r="B50" s="178" t="str">
        <f t="shared" si="43"/>
        <v>Michael Stich</v>
      </c>
      <c r="C50" s="178" t="s">
        <v>207</v>
      </c>
      <c r="D50" s="178" t="s">
        <v>273</v>
      </c>
      <c r="E50" s="178" t="s">
        <v>91</v>
      </c>
      <c r="F50" s="178">
        <f>VLOOKUP(B50&amp;"5",Data!A36:C270,3,FALSE)</f>
        <v>2281</v>
      </c>
      <c r="G50" s="178">
        <f t="shared" si="44"/>
        <v>79</v>
      </c>
      <c r="H50" s="178">
        <f t="shared" si="45"/>
        <v>31</v>
      </c>
      <c r="I50" s="45">
        <f t="shared" si="46"/>
        <v>0.71818181818181814</v>
      </c>
      <c r="J50" s="54">
        <f>MAX(Data!D243:L246)</f>
        <v>491</v>
      </c>
      <c r="K50" s="54">
        <f>MAX(Data!D247:Z247)</f>
        <v>830</v>
      </c>
      <c r="L50" s="46">
        <f t="shared" si="47"/>
        <v>51.081818181818178</v>
      </c>
      <c r="M50" s="12">
        <f t="shared" si="48"/>
        <v>253.44444444444446</v>
      </c>
      <c r="N50" s="12">
        <f t="shared" si="49"/>
        <v>71.28125</v>
      </c>
      <c r="O50" s="12">
        <f t="shared" si="50"/>
        <v>28.873417721518987</v>
      </c>
      <c r="P50" s="32">
        <v>1968</v>
      </c>
      <c r="Q50" s="178">
        <f t="shared" si="91"/>
        <v>9</v>
      </c>
      <c r="R50" s="178">
        <v>1989</v>
      </c>
      <c r="S50" s="178">
        <v>1997</v>
      </c>
      <c r="T50" s="32">
        <f>VLOOKUP($B50&amp;"1",Data!$A:$AB,27, FALSE)</f>
        <v>388</v>
      </c>
      <c r="U50" s="32">
        <f>VLOOKUP($B50&amp;"2",Data!$A:$AB,27, FALSE)</f>
        <v>636</v>
      </c>
      <c r="V50" s="32">
        <f>VLOOKUP($B50&amp;"3",Data!$A:$AB,27, FALSE)</f>
        <v>1054</v>
      </c>
      <c r="W50" s="32">
        <f>VLOOKUP($B50&amp;"4",Data!$A:$AB,27, FALSE)</f>
        <v>203</v>
      </c>
      <c r="X50" s="32">
        <f t="shared" si="83"/>
        <v>32</v>
      </c>
      <c r="Y50" s="32">
        <f t="shared" si="84"/>
        <v>36</v>
      </c>
      <c r="Z50" s="32">
        <f t="shared" si="85"/>
        <v>20</v>
      </c>
      <c r="AA50" s="32">
        <f t="shared" si="86"/>
        <v>41</v>
      </c>
      <c r="AB50" s="32">
        <f>VLOOKUP($B50&amp;"1",Data!$A:$AB,28, FALSE)</f>
        <v>7</v>
      </c>
      <c r="AC50" s="32">
        <f>VLOOKUP($B50&amp;"2",Data!$A:$AB,28, FALSE)</f>
        <v>8</v>
      </c>
      <c r="AD50" s="32">
        <f>VLOOKUP($B50&amp;"3",Data!$A:$AB,28, FALSE)</f>
        <v>9</v>
      </c>
      <c r="AE50" s="32">
        <f>VLOOKUP($B50&amp;"4",Data!$A:$AB,28, FALSE)</f>
        <v>8</v>
      </c>
      <c r="AF50" s="32">
        <f t="shared" si="80"/>
        <v>55.428571428571431</v>
      </c>
      <c r="AG50" s="32">
        <f t="shared" si="77"/>
        <v>79.5</v>
      </c>
      <c r="AH50" s="32">
        <f t="shared" si="78"/>
        <v>117.11111111111111</v>
      </c>
      <c r="AI50" s="32">
        <f t="shared" si="79"/>
        <v>25.375</v>
      </c>
      <c r="AJ50" s="178">
        <v>32</v>
      </c>
      <c r="AK50" s="178">
        <v>26</v>
      </c>
      <c r="AL50" s="178">
        <v>19</v>
      </c>
      <c r="AM50" s="178">
        <v>14</v>
      </c>
      <c r="AN50" s="178">
        <v>10</v>
      </c>
      <c r="AO50" s="178">
        <v>6</v>
      </c>
      <c r="AP50" s="178">
        <v>3</v>
      </c>
      <c r="AQ50" s="178">
        <v>1</v>
      </c>
      <c r="AR50" s="12">
        <f>AVERAGE(Data!F245)</f>
        <v>491</v>
      </c>
      <c r="AS50" s="12">
        <f>AVERAGE(Data!I246,Data!K244)</f>
        <v>283.5</v>
      </c>
      <c r="AT50" s="12">
        <f>AVERAGE(Data!H243,Data!L245,Data!F244)</f>
        <v>177</v>
      </c>
      <c r="AU50" s="12">
        <f>AVERAGE(Data!F246,Data!G245:H245,Data!G243)</f>
        <v>178.75</v>
      </c>
      <c r="AV50" s="12">
        <f>AVERAGE(Data!D243:E246,Data!F243,Data!G244:J244,Data!G246:H246,Data!I245:K245,Data!J246:K246,Data!I243:L243)</f>
        <v>-1.0454545454545454</v>
      </c>
      <c r="AW50" s="178">
        <f t="shared" si="56"/>
        <v>1</v>
      </c>
      <c r="AX50" s="178">
        <f t="shared" si="57"/>
        <v>2</v>
      </c>
      <c r="AY50" s="178">
        <f t="shared" si="58"/>
        <v>3</v>
      </c>
      <c r="AZ50" s="178">
        <f t="shared" si="59"/>
        <v>4</v>
      </c>
      <c r="BA50" s="32">
        <f t="shared" si="60"/>
        <v>22</v>
      </c>
      <c r="BB50" s="32">
        <f t="shared" si="61"/>
        <v>491</v>
      </c>
      <c r="BC50" s="32">
        <f t="shared" si="62"/>
        <v>567</v>
      </c>
      <c r="BD50" s="32">
        <f t="shared" si="63"/>
        <v>531</v>
      </c>
      <c r="BE50" s="32">
        <f t="shared" si="64"/>
        <v>715</v>
      </c>
      <c r="BF50" s="32">
        <f t="shared" si="65"/>
        <v>-23</v>
      </c>
      <c r="BG50" s="32">
        <f t="shared" si="87"/>
        <v>2633.2985386927749</v>
      </c>
      <c r="BH50" s="178">
        <f t="shared" si="66"/>
        <v>2281</v>
      </c>
      <c r="BI50" s="83">
        <f t="shared" si="67"/>
        <v>352.29853869277486</v>
      </c>
      <c r="BJ50" s="178">
        <f t="shared" si="68"/>
        <v>32</v>
      </c>
      <c r="BK50" s="178">
        <v>0</v>
      </c>
      <c r="BL50" s="32">
        <f>BH50-(BJ50*Timeline!$AG$202)-(BK50*Timeline!$AK$202)</f>
        <v>2860.6635769631475</v>
      </c>
      <c r="BM50" s="83">
        <f t="shared" si="69"/>
        <v>579.66357696314753</v>
      </c>
      <c r="BN50" s="32">
        <f t="shared" si="88"/>
        <v>2465.0600388936241</v>
      </c>
      <c r="BO50" s="83">
        <f t="shared" si="70"/>
        <v>184.0600388936241</v>
      </c>
      <c r="BP50" s="32">
        <f t="shared" si="71"/>
        <v>2162</v>
      </c>
      <c r="BQ50" s="83">
        <f t="shared" si="72"/>
        <v>-119</v>
      </c>
      <c r="BR50" s="83">
        <f t="shared" si="89"/>
        <v>2177.2251980445858</v>
      </c>
      <c r="BS50" s="83">
        <f t="shared" si="73"/>
        <v>-103.7748019554142</v>
      </c>
      <c r="BT50" s="32">
        <f t="shared" si="74"/>
        <v>3094.153829443123</v>
      </c>
      <c r="BU50" s="83">
        <f t="shared" si="75"/>
        <v>813.15382944312296</v>
      </c>
      <c r="BV50" s="32">
        <f>AVERAGE(Timeline!W209:AE209)</f>
        <v>-101.6442286803904</v>
      </c>
      <c r="BW50" s="32">
        <f t="shared" si="90"/>
        <v>2505.6734319421075</v>
      </c>
      <c r="BX50" s="83">
        <f t="shared" si="76"/>
        <v>224.67343194210753</v>
      </c>
    </row>
    <row r="51" spans="1:76" s="131" customFormat="1" x14ac:dyDescent="0.2">
      <c r="A51" s="131">
        <f t="shared" si="82"/>
        <v>49</v>
      </c>
      <c r="B51" s="144" t="str">
        <f t="shared" si="43"/>
        <v>Gaston Gaudio</v>
      </c>
      <c r="C51" s="131" t="s">
        <v>234</v>
      </c>
      <c r="D51" s="131" t="s">
        <v>235</v>
      </c>
      <c r="E51" s="131" t="s">
        <v>107</v>
      </c>
      <c r="F51" s="144">
        <f>VLOOKUP(B51&amp;"5",Data!A39:C273,3,FALSE)</f>
        <v>-142</v>
      </c>
      <c r="G51" s="131">
        <f t="shared" si="44"/>
        <v>37</v>
      </c>
      <c r="H51" s="131">
        <f t="shared" si="45"/>
        <v>31</v>
      </c>
      <c r="I51" s="45">
        <f t="shared" si="46"/>
        <v>0.54411764705882348</v>
      </c>
      <c r="J51" s="54">
        <f>MAX(Data!D188:Z191)</f>
        <v>499</v>
      </c>
      <c r="K51" s="54">
        <f>MAX(Data!D192:Z192)</f>
        <v>492</v>
      </c>
      <c r="L51" s="46">
        <f t="shared" si="47"/>
        <v>56.5</v>
      </c>
      <c r="M51" s="12">
        <f t="shared" si="48"/>
        <v>-14.2</v>
      </c>
      <c r="N51" s="12">
        <f t="shared" si="49"/>
        <v>-4.4375</v>
      </c>
      <c r="O51" s="12">
        <f t="shared" si="50"/>
        <v>-3.8378378378378377</v>
      </c>
      <c r="P51" s="32">
        <v>1978</v>
      </c>
      <c r="Q51" s="131">
        <v>10</v>
      </c>
      <c r="R51" s="131">
        <v>1999</v>
      </c>
      <c r="S51" s="131">
        <v>2009</v>
      </c>
      <c r="T51" s="32">
        <f>VLOOKUP($B51&amp;"1",Data!$A:$AB,27, FALSE)</f>
        <v>-160</v>
      </c>
      <c r="U51" s="32">
        <f>VLOOKUP($B51&amp;"2",Data!$A:$AB,27, FALSE)</f>
        <v>741</v>
      </c>
      <c r="V51" s="32">
        <f>VLOOKUP($B51&amp;"3",Data!$A:$AB,27, FALSE)</f>
        <v>-336</v>
      </c>
      <c r="W51" s="32">
        <f>VLOOKUP($B51&amp;"4",Data!$A:$AB,27, FALSE)</f>
        <v>-387</v>
      </c>
      <c r="X51" s="32">
        <f t="shared" si="83"/>
        <v>48</v>
      </c>
      <c r="Y51" s="32">
        <f t="shared" si="84"/>
        <v>30</v>
      </c>
      <c r="Z51" s="32">
        <f t="shared" si="85"/>
        <v>49</v>
      </c>
      <c r="AA51" s="32">
        <f t="shared" si="86"/>
        <v>49</v>
      </c>
      <c r="AB51" s="32">
        <f>VLOOKUP($B51&amp;"1",Data!$A:$AB,28, FALSE)</f>
        <v>8</v>
      </c>
      <c r="AC51" s="32">
        <f>VLOOKUP($B51&amp;"2",Data!$A:$AB,28, FALSE)</f>
        <v>10</v>
      </c>
      <c r="AD51" s="32">
        <f>VLOOKUP($B51&amp;"3",Data!$A:$AB,28, FALSE)</f>
        <v>6</v>
      </c>
      <c r="AE51" s="32">
        <f>VLOOKUP($B51&amp;"4",Data!$A:$AB,28, FALSE)</f>
        <v>8</v>
      </c>
      <c r="AF51" s="32">
        <f t="shared" si="80"/>
        <v>-20</v>
      </c>
      <c r="AG51" s="32">
        <f t="shared" si="77"/>
        <v>74.099999999999994</v>
      </c>
      <c r="AH51" s="32">
        <f t="shared" si="78"/>
        <v>-56</v>
      </c>
      <c r="AI51" s="32">
        <f t="shared" si="79"/>
        <v>-48.375</v>
      </c>
      <c r="AJ51" s="131">
        <v>32</v>
      </c>
      <c r="AK51" s="131">
        <v>18</v>
      </c>
      <c r="AL51" s="131">
        <v>11</v>
      </c>
      <c r="AM51" s="131">
        <v>4</v>
      </c>
      <c r="AN51" s="131">
        <v>1</v>
      </c>
      <c r="AO51" s="131">
        <v>1</v>
      </c>
      <c r="AP51" s="131">
        <v>1</v>
      </c>
      <c r="AQ51" s="131">
        <v>1</v>
      </c>
      <c r="AR51" s="12">
        <f>AVERAGE(Data!I189)</f>
        <v>499</v>
      </c>
      <c r="AS51" s="12"/>
      <c r="AT51" s="12"/>
      <c r="AU51" s="12"/>
      <c r="AV51" s="12">
        <f>AVERAGE(Data!D188:H191,Data!J188:N191,Data!I188,Data!I191)</f>
        <v>-20.677419354838708</v>
      </c>
      <c r="AW51" s="131">
        <f t="shared" si="56"/>
        <v>1</v>
      </c>
      <c r="AX51" s="131">
        <f t="shared" si="57"/>
        <v>0</v>
      </c>
      <c r="AY51" s="131">
        <f t="shared" si="58"/>
        <v>0</v>
      </c>
      <c r="AZ51" s="131">
        <f t="shared" si="59"/>
        <v>0</v>
      </c>
      <c r="BA51" s="32">
        <f t="shared" si="60"/>
        <v>31</v>
      </c>
      <c r="BB51" s="32">
        <f t="shared" si="61"/>
        <v>499</v>
      </c>
      <c r="BC51" s="32">
        <f t="shared" si="62"/>
        <v>0</v>
      </c>
      <c r="BD51" s="32">
        <f t="shared" si="63"/>
        <v>0</v>
      </c>
      <c r="BE51" s="32">
        <f t="shared" si="64"/>
        <v>0</v>
      </c>
      <c r="BF51" s="32">
        <f t="shared" si="65"/>
        <v>-641</v>
      </c>
      <c r="BG51" s="32">
        <f t="shared" si="87"/>
        <v>664.9824934414238</v>
      </c>
      <c r="BH51" s="131">
        <f t="shared" si="66"/>
        <v>-142</v>
      </c>
      <c r="BI51" s="83">
        <f t="shared" si="67"/>
        <v>806.9824934414238</v>
      </c>
      <c r="BJ51" s="131">
        <f t="shared" si="68"/>
        <v>9</v>
      </c>
      <c r="BK51" s="131">
        <v>23</v>
      </c>
      <c r="BL51" s="32">
        <f>BH51-(BJ51*Timeline!$AG$202)-(BK51*Timeline!$AK$202)</f>
        <v>-88.897225713028462</v>
      </c>
      <c r="BM51" s="83">
        <f t="shared" si="69"/>
        <v>53.102774286971538</v>
      </c>
      <c r="BN51" s="32">
        <f t="shared" si="88"/>
        <v>-484.50076378255199</v>
      </c>
      <c r="BO51" s="83">
        <f t="shared" si="70"/>
        <v>-342.50076378255199</v>
      </c>
      <c r="BP51" s="32">
        <f t="shared" si="71"/>
        <v>-171</v>
      </c>
      <c r="BQ51" s="83">
        <f t="shared" si="72"/>
        <v>-29</v>
      </c>
      <c r="BR51" s="83">
        <f t="shared" si="89"/>
        <v>-155.7748019554142</v>
      </c>
      <c r="BS51" s="83">
        <f t="shared" si="73"/>
        <v>-13.774801955414205</v>
      </c>
      <c r="BT51" s="32">
        <f t="shared" si="74"/>
        <v>406.87594352714655</v>
      </c>
      <c r="BU51" s="83">
        <f t="shared" si="75"/>
        <v>548.87594352714655</v>
      </c>
      <c r="BV51" s="32">
        <f>AVERAGE(Timeline!AG209:AO209,Timeline!AQ209)</f>
        <v>-54.887594352714657</v>
      </c>
      <c r="BW51" s="32">
        <f t="shared" si="90"/>
        <v>-181.60445397386911</v>
      </c>
      <c r="BX51" s="83">
        <f t="shared" si="76"/>
        <v>-39.604453973869113</v>
      </c>
    </row>
    <row r="52" spans="1:76" x14ac:dyDescent="0.2">
      <c r="A52" s="71"/>
      <c r="X52" s="32"/>
    </row>
    <row r="53" spans="1:76" x14ac:dyDescent="0.2">
      <c r="A53" s="194" t="s">
        <v>54</v>
      </c>
      <c r="B53" s="194"/>
      <c r="C53" s="194"/>
      <c r="D53" s="194"/>
      <c r="J53" s="52">
        <f>MAX(J3:J51)</f>
        <v>592</v>
      </c>
      <c r="K53" s="178">
        <f>MAX(K3:K51)</f>
        <v>2026</v>
      </c>
      <c r="T53" s="49"/>
      <c r="X53" s="49"/>
      <c r="AR53" s="32">
        <f>BB54</f>
        <v>459.54773357154312</v>
      </c>
      <c r="AS53" s="32">
        <f>BC54</f>
        <v>349.45968992248066</v>
      </c>
      <c r="AT53" s="32">
        <f>BD54</f>
        <v>236.60944026733503</v>
      </c>
      <c r="AU53" s="32">
        <f>BE54</f>
        <v>154.80267356100688</v>
      </c>
      <c r="AV53" s="32">
        <f>BF54</f>
        <v>6.6269277377380851</v>
      </c>
      <c r="AW53" s="100">
        <f t="shared" ref="AW53:BF53" si="92">SUM(AW3:AW33)</f>
        <v>189</v>
      </c>
      <c r="AX53" s="107">
        <f t="shared" si="92"/>
        <v>129</v>
      </c>
      <c r="AY53" s="107">
        <f t="shared" si="92"/>
        <v>171</v>
      </c>
      <c r="AZ53" s="107">
        <f t="shared" si="92"/>
        <v>198</v>
      </c>
      <c r="BA53" s="107">
        <f t="shared" si="92"/>
        <v>752</v>
      </c>
      <c r="BB53" s="107">
        <f t="shared" si="92"/>
        <v>86854.521645021654</v>
      </c>
      <c r="BC53" s="107">
        <f t="shared" si="92"/>
        <v>45080.3</v>
      </c>
      <c r="BD53" s="107">
        <f t="shared" si="92"/>
        <v>40460.21428571429</v>
      </c>
      <c r="BE53" s="107">
        <f t="shared" si="92"/>
        <v>30650.929365079362</v>
      </c>
      <c r="BF53" s="115">
        <f t="shared" si="92"/>
        <v>4983.44965877904</v>
      </c>
      <c r="BM53" s="32">
        <f>AVERAGE(BM3:BM51)</f>
        <v>395.60353806952355</v>
      </c>
      <c r="BQ53" s="32">
        <f>AVERAGE(BQ3:BQ51)</f>
        <v>-15.225198044585786</v>
      </c>
      <c r="BR53" s="32"/>
      <c r="BS53" s="32"/>
      <c r="BU53" s="32">
        <f>AVERAGE(BU3:BU51)</f>
        <v>588.48039750101566</v>
      </c>
      <c r="BX53" s="32">
        <f>SUM(BX3:BX51)</f>
        <v>6.5938365878537297E-12</v>
      </c>
    </row>
    <row r="54" spans="1:76" x14ac:dyDescent="0.2">
      <c r="T54" s="49"/>
      <c r="X54" s="49"/>
      <c r="BB54" s="32">
        <f>BB53/AW53</f>
        <v>459.54773357154312</v>
      </c>
      <c r="BC54" s="32">
        <f>BC53/AX53</f>
        <v>349.45968992248066</v>
      </c>
      <c r="BD54" s="32">
        <f>BD53/AY53</f>
        <v>236.60944026733503</v>
      </c>
      <c r="BE54" s="32">
        <f>BE53/AZ53</f>
        <v>154.80267356100688</v>
      </c>
      <c r="BF54" s="32">
        <f>BF53/BA53</f>
        <v>6.6269277377380851</v>
      </c>
    </row>
    <row r="55" spans="1:76" x14ac:dyDescent="0.2">
      <c r="T55" s="49"/>
      <c r="X55" s="49"/>
    </row>
    <row r="56" spans="1:76" x14ac:dyDescent="0.2">
      <c r="T56" s="49"/>
      <c r="X56" s="49"/>
    </row>
    <row r="57" spans="1:76" x14ac:dyDescent="0.2">
      <c r="T57" s="49"/>
      <c r="X57" s="49"/>
    </row>
    <row r="58" spans="1:76" x14ac:dyDescent="0.2">
      <c r="T58" s="49"/>
      <c r="X58" s="49"/>
    </row>
    <row r="59" spans="1:76" x14ac:dyDescent="0.2">
      <c r="T59" s="49"/>
      <c r="X59" s="49"/>
    </row>
    <row r="60" spans="1:76" x14ac:dyDescent="0.2">
      <c r="T60" s="49"/>
      <c r="X60" s="49"/>
    </row>
    <row r="61" spans="1:76" x14ac:dyDescent="0.2">
      <c r="T61" s="49"/>
      <c r="X61" s="49"/>
    </row>
    <row r="62" spans="1:76" x14ac:dyDescent="0.2">
      <c r="T62" s="49"/>
      <c r="X62" s="49"/>
    </row>
    <row r="63" spans="1:76" x14ac:dyDescent="0.2">
      <c r="T63" s="49"/>
      <c r="X63" s="49"/>
    </row>
  </sheetData>
  <sortState ref="A4:BX51">
    <sortCondition ref="A3"/>
  </sortState>
  <mergeCells count="36">
    <mergeCell ref="BV1:BV2"/>
    <mergeCell ref="BH1:BH2"/>
    <mergeCell ref="BI1:BI2"/>
    <mergeCell ref="BQ1:BQ2"/>
    <mergeCell ref="BN1:BN2"/>
    <mergeCell ref="BO1:BO2"/>
    <mergeCell ref="BP1:BP2"/>
    <mergeCell ref="BU1:BU2"/>
    <mergeCell ref="BR1:BR2"/>
    <mergeCell ref="BS1:BS2"/>
    <mergeCell ref="AF1:AI1"/>
    <mergeCell ref="AR1:AV1"/>
    <mergeCell ref="BB1:BF1"/>
    <mergeCell ref="AW1:BA1"/>
    <mergeCell ref="BT1:BT2"/>
    <mergeCell ref="BG1:BG2"/>
    <mergeCell ref="BJ1:BJ2"/>
    <mergeCell ref="BK1:BK2"/>
    <mergeCell ref="BL1:BL2"/>
    <mergeCell ref="BM1:BM2"/>
    <mergeCell ref="B1:B2"/>
    <mergeCell ref="BW1:BW2"/>
    <mergeCell ref="BX1:BX2"/>
    <mergeCell ref="A53:D53"/>
    <mergeCell ref="AJ1:AQ1"/>
    <mergeCell ref="C1:D2"/>
    <mergeCell ref="A1:A2"/>
    <mergeCell ref="E1:E2"/>
    <mergeCell ref="T1:W1"/>
    <mergeCell ref="P1:S1"/>
    <mergeCell ref="M1:O1"/>
    <mergeCell ref="F1:I1"/>
    <mergeCell ref="L1:L2"/>
    <mergeCell ref="J1:K1"/>
    <mergeCell ref="X1:AA1"/>
    <mergeCell ref="AB1:AE1"/>
  </mergeCells>
  <conditionalFormatting sqref="AF3:AF14">
    <cfRule type="colorScale" priority="17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">
    <cfRule type="colorScale" priority="17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15">
    <cfRule type="colorScale" priority="17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">
    <cfRule type="colorScale" priority="17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">
    <cfRule type="colorScale" priority="17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16">
    <cfRule type="colorScale" priority="17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">
    <cfRule type="colorScale" priority="17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">
    <cfRule type="colorScale" priority="17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">
    <cfRule type="colorScale" priority="17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17">
    <cfRule type="colorScale" priority="17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">
    <cfRule type="colorScale" priority="17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">
    <cfRule type="colorScale" priority="17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">
    <cfRule type="colorScale" priority="17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">
    <cfRule type="colorScale" priority="17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18">
    <cfRule type="colorScale" priority="17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">
    <cfRule type="colorScale" priority="17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">
    <cfRule type="colorScale" priority="17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">
    <cfRule type="colorScale" priority="17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">
    <cfRule type="colorScale" priority="17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">
    <cfRule type="colorScale" priority="17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">
    <cfRule type="colorScale" priority="17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">
    <cfRule type="colorScale" priority="17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">
    <cfRule type="colorScale" priority="17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">
    <cfRule type="colorScale" priority="17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">
    <cfRule type="colorScale" priority="17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20">
    <cfRule type="colorScale" priority="17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">
    <cfRule type="colorScale" priority="17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">
    <cfRule type="colorScale" priority="17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">
    <cfRule type="colorScale" priority="17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">
    <cfRule type="colorScale" priority="17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">
    <cfRule type="colorScale" priority="17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">
    <cfRule type="colorScale" priority="17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21">
    <cfRule type="colorScale" priority="17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">
    <cfRule type="colorScale" priority="17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">
    <cfRule type="colorScale" priority="17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">
    <cfRule type="colorScale" priority="17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">
    <cfRule type="colorScale" priority="17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">
    <cfRule type="colorScale" priority="17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">
    <cfRule type="colorScale" priority="17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">
    <cfRule type="colorScale" priority="17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22">
    <cfRule type="colorScale" priority="17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">
    <cfRule type="colorScale" priority="17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">
    <cfRule type="colorScale" priority="17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">
    <cfRule type="colorScale" priority="17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">
    <cfRule type="colorScale" priority="17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">
    <cfRule type="colorScale" priority="17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">
    <cfRule type="colorScale" priority="17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">
    <cfRule type="colorScale" priority="17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">
    <cfRule type="colorScale" priority="17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23">
    <cfRule type="colorScale" priority="16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:AF26">
    <cfRule type="colorScale" priority="16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:AF26">
    <cfRule type="colorScale" priority="16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:AF26">
    <cfRule type="colorScale" priority="16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:AF26">
    <cfRule type="colorScale" priority="16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:AF26">
    <cfRule type="colorScale" priority="16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:AF26">
    <cfRule type="colorScale" priority="16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:AF26">
    <cfRule type="colorScale" priority="16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:AF26">
    <cfRule type="colorScale" priority="16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:AF26">
    <cfRule type="colorScale" priority="16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26">
    <cfRule type="colorScale" priority="16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">
    <cfRule type="cellIs" dxfId="545" priority="16605" operator="lessThan">
      <formula>0</formula>
    </cfRule>
    <cfRule type="cellIs" dxfId="544" priority="16606" operator="greaterThan">
      <formula>0</formula>
    </cfRule>
  </conditionalFormatting>
  <conditionalFormatting sqref="BM4:BM24 BM26">
    <cfRule type="cellIs" dxfId="543" priority="16603" operator="lessThan">
      <formula>0</formula>
    </cfRule>
    <cfRule type="cellIs" dxfId="542" priority="16604" operator="greaterThan">
      <formula>0</formula>
    </cfRule>
  </conditionalFormatting>
  <conditionalFormatting sqref="BQ3 BS3">
    <cfRule type="cellIs" dxfId="541" priority="16601" operator="lessThan">
      <formula>0</formula>
    </cfRule>
    <cfRule type="cellIs" dxfId="540" priority="16602" operator="greaterThan">
      <formula>0</formula>
    </cfRule>
  </conditionalFormatting>
  <conditionalFormatting sqref="BI3">
    <cfRule type="cellIs" dxfId="539" priority="16593" operator="lessThan">
      <formula>0</formula>
    </cfRule>
    <cfRule type="cellIs" dxfId="538" priority="16594" operator="greaterThan">
      <formula>0</formula>
    </cfRule>
  </conditionalFormatting>
  <conditionalFormatting sqref="BO3">
    <cfRule type="cellIs" dxfId="537" priority="16538" operator="lessThan">
      <formula>0</formula>
    </cfRule>
    <cfRule type="cellIs" dxfId="536" priority="16539" operator="greaterThan">
      <formula>0</formula>
    </cfRule>
  </conditionalFormatting>
  <conditionalFormatting sqref="BO4:BO28">
    <cfRule type="cellIs" dxfId="535" priority="16534" operator="lessThan">
      <formula>0</formula>
    </cfRule>
    <cfRule type="cellIs" dxfId="534" priority="16535" operator="greaterThan">
      <formula>0</formula>
    </cfRule>
  </conditionalFormatting>
  <conditionalFormatting sqref="BQ4:BQ28">
    <cfRule type="cellIs" dxfId="533" priority="16532" operator="lessThan">
      <formula>0</formula>
    </cfRule>
    <cfRule type="cellIs" dxfId="532" priority="16533" operator="greaterThan">
      <formula>0</formula>
    </cfRule>
  </conditionalFormatting>
  <conditionalFormatting sqref="AF27">
    <cfRule type="colorScale" priority="16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">
    <cfRule type="colorScale" priority="16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">
    <cfRule type="colorScale" priority="16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">
    <cfRule type="colorScale" priority="16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">
    <cfRule type="colorScale" priority="16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">
    <cfRule type="colorScale" priority="16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">
    <cfRule type="colorScale" priority="16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">
    <cfRule type="colorScale" priority="16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">
    <cfRule type="colorScale" priority="16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">
    <cfRule type="colorScale" priority="16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27">
    <cfRule type="colorScale" priority="16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7">
    <cfRule type="cellIs" dxfId="531" priority="16456" operator="lessThan">
      <formula>0</formula>
    </cfRule>
    <cfRule type="cellIs" dxfId="530" priority="16457" operator="greaterThan">
      <formula>0</formula>
    </cfRule>
  </conditionalFormatting>
  <conditionalFormatting sqref="AF28">
    <cfRule type="colorScale" priority="16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16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16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16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16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16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16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16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16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16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16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28">
    <cfRule type="colorScale" priority="16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8">
    <cfRule type="cellIs" dxfId="529" priority="16385" operator="lessThan">
      <formula>0</formula>
    </cfRule>
    <cfRule type="cellIs" dxfId="528" priority="16386" operator="greaterThan">
      <formula>0</formula>
    </cfRule>
  </conditionalFormatting>
  <conditionalFormatting sqref="BO29:BO31">
    <cfRule type="cellIs" dxfId="527" priority="16372" operator="lessThan">
      <formula>0</formula>
    </cfRule>
    <cfRule type="cellIs" dxfId="526" priority="16373" operator="greaterThan">
      <formula>0</formula>
    </cfRule>
  </conditionalFormatting>
  <conditionalFormatting sqref="BQ29">
    <cfRule type="cellIs" dxfId="525" priority="16370" operator="lessThan">
      <formula>0</formula>
    </cfRule>
    <cfRule type="cellIs" dxfId="524" priority="16371" operator="greaterThan">
      <formula>0</formula>
    </cfRule>
  </conditionalFormatting>
  <conditionalFormatting sqref="BM29:BM30">
    <cfRule type="cellIs" dxfId="523" priority="16311" operator="lessThan">
      <formula>0</formula>
    </cfRule>
    <cfRule type="cellIs" dxfId="522" priority="16312" operator="greaterThan">
      <formula>0</formula>
    </cfRule>
  </conditionalFormatting>
  <conditionalFormatting sqref="AF29">
    <cfRule type="colorScale" priority="16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">
    <cfRule type="colorScale" priority="16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">
    <cfRule type="colorScale" priority="16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">
    <cfRule type="colorScale" priority="16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">
    <cfRule type="colorScale" priority="16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">
    <cfRule type="colorScale" priority="16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">
    <cfRule type="colorScale" priority="16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">
    <cfRule type="colorScale" priority="16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">
    <cfRule type="colorScale" priority="16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">
    <cfRule type="colorScale" priority="16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">
    <cfRule type="colorScale" priority="16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">
    <cfRule type="colorScale" priority="16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29">
    <cfRule type="colorScale" priority="16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">
    <cfRule type="colorScale" priority="15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">
    <cfRule type="colorScale" priority="15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">
    <cfRule type="colorScale" priority="15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">
    <cfRule type="colorScale" priority="15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">
    <cfRule type="colorScale" priority="15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">
    <cfRule type="colorScale" priority="15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">
    <cfRule type="colorScale" priority="15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">
    <cfRule type="colorScale" priority="15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">
    <cfRule type="colorScale" priority="15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">
    <cfRule type="colorScale" priority="15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">
    <cfRule type="colorScale" priority="15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">
    <cfRule type="colorScale" priority="15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">
    <cfRule type="colorScale" priority="15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15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15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15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15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15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15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15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15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15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15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15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30">
    <cfRule type="colorScale" priority="15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30">
    <cfRule type="cellIs" dxfId="521" priority="15825" operator="lessThan">
      <formula>0</formula>
    </cfRule>
    <cfRule type="cellIs" dxfId="520" priority="15826" operator="greaterThan">
      <formula>0</formula>
    </cfRule>
  </conditionalFormatting>
  <conditionalFormatting sqref="AF31">
    <cfRule type="colorScale" priority="15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">
    <cfRule type="colorScale" priority="15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">
    <cfRule type="colorScale" priority="15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">
    <cfRule type="colorScale" priority="15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">
    <cfRule type="colorScale" priority="15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">
    <cfRule type="colorScale" priority="15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">
    <cfRule type="colorScale" priority="15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">
    <cfRule type="colorScale" priority="15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">
    <cfRule type="colorScale" priority="15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">
    <cfRule type="colorScale" priority="15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">
    <cfRule type="colorScale" priority="15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">
    <cfRule type="colorScale" priority="15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">
    <cfRule type="colorScale" priority="15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">
    <cfRule type="colorScale" priority="15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5">
    <cfRule type="cellIs" dxfId="519" priority="15728" operator="lessThan">
      <formula>0</formula>
    </cfRule>
    <cfRule type="cellIs" dxfId="518" priority="15729" operator="greaterThan">
      <formula>0</formula>
    </cfRule>
  </conditionalFormatting>
  <conditionalFormatting sqref="BM31">
    <cfRule type="cellIs" dxfId="517" priority="15726" operator="lessThan">
      <formula>0</formula>
    </cfRule>
    <cfRule type="cellIs" dxfId="516" priority="15727" operator="greaterThan">
      <formula>0</formula>
    </cfRule>
  </conditionalFormatting>
  <conditionalFormatting sqref="BQ31">
    <cfRule type="cellIs" dxfId="515" priority="15724" operator="lessThan">
      <formula>0</formula>
    </cfRule>
    <cfRule type="cellIs" dxfId="514" priority="15725" operator="greaterThan">
      <formula>0</formula>
    </cfRule>
  </conditionalFormatting>
  <conditionalFormatting sqref="AF33:AF34">
    <cfRule type="colorScale" priority="15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:AF34">
    <cfRule type="colorScale" priority="15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:AF34">
    <cfRule type="colorScale" priority="15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:AF34">
    <cfRule type="colorScale" priority="15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:AF34">
    <cfRule type="colorScale" priority="15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:AF34">
    <cfRule type="colorScale" priority="15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:AF34">
    <cfRule type="colorScale" priority="15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:AF34">
    <cfRule type="colorScale" priority="15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:AF34">
    <cfRule type="colorScale" priority="15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:AF34">
    <cfRule type="colorScale" priority="15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:AF34">
    <cfRule type="colorScale" priority="15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:AF34">
    <cfRule type="colorScale" priority="15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:AF34">
    <cfRule type="colorScale" priority="15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:AF34">
    <cfRule type="colorScale" priority="15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31 AF33:AF34">
    <cfRule type="colorScale" priority="15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3:BM34">
    <cfRule type="cellIs" dxfId="513" priority="15188" operator="lessThan">
      <formula>0</formula>
    </cfRule>
    <cfRule type="cellIs" dxfId="512" priority="15189" operator="greaterThan">
      <formula>0</formula>
    </cfRule>
  </conditionalFormatting>
  <conditionalFormatting sqref="BO33:BO34">
    <cfRule type="cellIs" dxfId="511" priority="15186" operator="lessThan">
      <formula>0</formula>
    </cfRule>
    <cfRule type="cellIs" dxfId="510" priority="15187" operator="greaterThan">
      <formula>0</formula>
    </cfRule>
  </conditionalFormatting>
  <conditionalFormatting sqref="BQ33:BQ34">
    <cfRule type="cellIs" dxfId="509" priority="15184" operator="lessThan">
      <formula>0</formula>
    </cfRule>
    <cfRule type="cellIs" dxfId="508" priority="15185" operator="greaterThan">
      <formula>0</formula>
    </cfRule>
  </conditionalFormatting>
  <conditionalFormatting sqref="BU3">
    <cfRule type="cellIs" dxfId="507" priority="14602" operator="lessThan">
      <formula>0</formula>
    </cfRule>
    <cfRule type="cellIs" dxfId="506" priority="14603" operator="greaterThan">
      <formula>0</formula>
    </cfRule>
  </conditionalFormatting>
  <conditionalFormatting sqref="BU4:BU31 BU33:BU34">
    <cfRule type="cellIs" dxfId="505" priority="14590" operator="lessThan">
      <formula>0</formula>
    </cfRule>
    <cfRule type="cellIs" dxfId="504" priority="14591" operator="greaterThan">
      <formula>0</formula>
    </cfRule>
  </conditionalFormatting>
  <conditionalFormatting sqref="BX3">
    <cfRule type="cellIs" dxfId="503" priority="14588" operator="lessThan">
      <formula>0</formula>
    </cfRule>
    <cfRule type="cellIs" dxfId="502" priority="14589" operator="greaterThan">
      <formula>0</formula>
    </cfRule>
  </conditionalFormatting>
  <conditionalFormatting sqref="BX4">
    <cfRule type="cellIs" dxfId="501" priority="14582" operator="lessThan">
      <formula>0</formula>
    </cfRule>
    <cfRule type="cellIs" dxfId="500" priority="14583" operator="greaterThan">
      <formula>0</formula>
    </cfRule>
  </conditionalFormatting>
  <conditionalFormatting sqref="BX5">
    <cfRule type="cellIs" dxfId="499" priority="14580" operator="lessThan">
      <formula>0</formula>
    </cfRule>
    <cfRule type="cellIs" dxfId="498" priority="14581" operator="greaterThan">
      <formula>0</formula>
    </cfRule>
  </conditionalFormatting>
  <conditionalFormatting sqref="BX6">
    <cfRule type="cellIs" dxfId="497" priority="14578" operator="lessThan">
      <formula>0</formula>
    </cfRule>
    <cfRule type="cellIs" dxfId="496" priority="14579" operator="greaterThan">
      <formula>0</formula>
    </cfRule>
  </conditionalFormatting>
  <conditionalFormatting sqref="BX7">
    <cfRule type="cellIs" dxfId="495" priority="14576" operator="lessThan">
      <formula>0</formula>
    </cfRule>
    <cfRule type="cellIs" dxfId="494" priority="14577" operator="greaterThan">
      <formula>0</formula>
    </cfRule>
  </conditionalFormatting>
  <conditionalFormatting sqref="BX8">
    <cfRule type="cellIs" dxfId="493" priority="14574" operator="lessThan">
      <formula>0</formula>
    </cfRule>
    <cfRule type="cellIs" dxfId="492" priority="14575" operator="greaterThan">
      <formula>0</formula>
    </cfRule>
  </conditionalFormatting>
  <conditionalFormatting sqref="BX9">
    <cfRule type="cellIs" dxfId="491" priority="14572" operator="lessThan">
      <formula>0</formula>
    </cfRule>
    <cfRule type="cellIs" dxfId="490" priority="14573" operator="greaterThan">
      <formula>0</formula>
    </cfRule>
  </conditionalFormatting>
  <conditionalFormatting sqref="BX10">
    <cfRule type="cellIs" dxfId="489" priority="14570" operator="lessThan">
      <formula>0</formula>
    </cfRule>
    <cfRule type="cellIs" dxfId="488" priority="14571" operator="greaterThan">
      <formula>0</formula>
    </cfRule>
  </conditionalFormatting>
  <conditionalFormatting sqref="BX11">
    <cfRule type="cellIs" dxfId="487" priority="14568" operator="lessThan">
      <formula>0</formula>
    </cfRule>
    <cfRule type="cellIs" dxfId="486" priority="14569" operator="greaterThan">
      <formula>0</formula>
    </cfRule>
  </conditionalFormatting>
  <conditionalFormatting sqref="BX12">
    <cfRule type="cellIs" dxfId="485" priority="14566" operator="lessThan">
      <formula>0</formula>
    </cfRule>
    <cfRule type="cellIs" dxfId="484" priority="14567" operator="greaterThan">
      <formula>0</formula>
    </cfRule>
  </conditionalFormatting>
  <conditionalFormatting sqref="BX13">
    <cfRule type="cellIs" dxfId="483" priority="14564" operator="lessThan">
      <formula>0</formula>
    </cfRule>
    <cfRule type="cellIs" dxfId="482" priority="14565" operator="greaterThan">
      <formula>0</formula>
    </cfRule>
  </conditionalFormatting>
  <conditionalFormatting sqref="BX14">
    <cfRule type="cellIs" dxfId="481" priority="14562" operator="lessThan">
      <formula>0</formula>
    </cfRule>
    <cfRule type="cellIs" dxfId="480" priority="14563" operator="greaterThan">
      <formula>0</formula>
    </cfRule>
  </conditionalFormatting>
  <conditionalFormatting sqref="BX15">
    <cfRule type="cellIs" dxfId="479" priority="14560" operator="lessThan">
      <formula>0</formula>
    </cfRule>
    <cfRule type="cellIs" dxfId="478" priority="14561" operator="greaterThan">
      <formula>0</formula>
    </cfRule>
  </conditionalFormatting>
  <conditionalFormatting sqref="BX16">
    <cfRule type="cellIs" dxfId="477" priority="14558" operator="lessThan">
      <formula>0</formula>
    </cfRule>
    <cfRule type="cellIs" dxfId="476" priority="14559" operator="greaterThan">
      <formula>0</formula>
    </cfRule>
  </conditionalFormatting>
  <conditionalFormatting sqref="BX17">
    <cfRule type="cellIs" dxfId="475" priority="14556" operator="lessThan">
      <formula>0</formula>
    </cfRule>
    <cfRule type="cellIs" dxfId="474" priority="14557" operator="greaterThan">
      <formula>0</formula>
    </cfRule>
  </conditionalFormatting>
  <conditionalFormatting sqref="BX18">
    <cfRule type="cellIs" dxfId="473" priority="14554" operator="lessThan">
      <formula>0</formula>
    </cfRule>
    <cfRule type="cellIs" dxfId="472" priority="14555" operator="greaterThan">
      <formula>0</formula>
    </cfRule>
  </conditionalFormatting>
  <conditionalFormatting sqref="BX19">
    <cfRule type="cellIs" dxfId="471" priority="14552" operator="lessThan">
      <formula>0</formula>
    </cfRule>
    <cfRule type="cellIs" dxfId="470" priority="14553" operator="greaterThan">
      <formula>0</formula>
    </cfRule>
  </conditionalFormatting>
  <conditionalFormatting sqref="BX20">
    <cfRule type="cellIs" dxfId="469" priority="14550" operator="lessThan">
      <formula>0</formula>
    </cfRule>
    <cfRule type="cellIs" dxfId="468" priority="14551" operator="greaterThan">
      <formula>0</formula>
    </cfRule>
  </conditionalFormatting>
  <conditionalFormatting sqref="BX21">
    <cfRule type="cellIs" dxfId="467" priority="14548" operator="lessThan">
      <formula>0</formula>
    </cfRule>
    <cfRule type="cellIs" dxfId="466" priority="14549" operator="greaterThan">
      <formula>0</formula>
    </cfRule>
  </conditionalFormatting>
  <conditionalFormatting sqref="BX22">
    <cfRule type="cellIs" dxfId="465" priority="14546" operator="lessThan">
      <formula>0</formula>
    </cfRule>
    <cfRule type="cellIs" dxfId="464" priority="14547" operator="greaterThan">
      <formula>0</formula>
    </cfRule>
  </conditionalFormatting>
  <conditionalFormatting sqref="BX23">
    <cfRule type="cellIs" dxfId="463" priority="14544" operator="lessThan">
      <formula>0</formula>
    </cfRule>
    <cfRule type="cellIs" dxfId="462" priority="14545" operator="greaterThan">
      <formula>0</formula>
    </cfRule>
  </conditionalFormatting>
  <conditionalFormatting sqref="BX24">
    <cfRule type="cellIs" dxfId="461" priority="14542" operator="lessThan">
      <formula>0</formula>
    </cfRule>
    <cfRule type="cellIs" dxfId="460" priority="14543" operator="greaterThan">
      <formula>0</formula>
    </cfRule>
  </conditionalFormatting>
  <conditionalFormatting sqref="BX25">
    <cfRule type="cellIs" dxfId="459" priority="14540" operator="lessThan">
      <formula>0</formula>
    </cfRule>
    <cfRule type="cellIs" dxfId="458" priority="14541" operator="greaterThan">
      <formula>0</formula>
    </cfRule>
  </conditionalFormatting>
  <conditionalFormatting sqref="BX26">
    <cfRule type="cellIs" dxfId="457" priority="14538" operator="lessThan">
      <formula>0</formula>
    </cfRule>
    <cfRule type="cellIs" dxfId="456" priority="14539" operator="greaterThan">
      <formula>0</formula>
    </cfRule>
  </conditionalFormatting>
  <conditionalFormatting sqref="BX27">
    <cfRule type="cellIs" dxfId="455" priority="14534" operator="lessThan">
      <formula>0</formula>
    </cfRule>
    <cfRule type="cellIs" dxfId="454" priority="14535" operator="greaterThan">
      <formula>0</formula>
    </cfRule>
  </conditionalFormatting>
  <conditionalFormatting sqref="BX28">
    <cfRule type="cellIs" dxfId="453" priority="14532" operator="lessThan">
      <formula>0</formula>
    </cfRule>
    <cfRule type="cellIs" dxfId="452" priority="14533" operator="greaterThan">
      <formula>0</formula>
    </cfRule>
  </conditionalFormatting>
  <conditionalFormatting sqref="BX29">
    <cfRule type="cellIs" dxfId="451" priority="14530" operator="lessThan">
      <formula>0</formula>
    </cfRule>
    <cfRule type="cellIs" dxfId="450" priority="14531" operator="greaterThan">
      <formula>0</formula>
    </cfRule>
  </conditionalFormatting>
  <conditionalFormatting sqref="BX30">
    <cfRule type="cellIs" dxfId="449" priority="14524" operator="lessThan">
      <formula>0</formula>
    </cfRule>
    <cfRule type="cellIs" dxfId="448" priority="14525" operator="greaterThan">
      <formula>0</formula>
    </cfRule>
  </conditionalFormatting>
  <conditionalFormatting sqref="BX31">
    <cfRule type="cellIs" dxfId="447" priority="14522" operator="lessThan">
      <formula>0</formula>
    </cfRule>
    <cfRule type="cellIs" dxfId="446" priority="14523" operator="greaterThan">
      <formula>0</formula>
    </cfRule>
  </conditionalFormatting>
  <conditionalFormatting sqref="BX33:BX34">
    <cfRule type="cellIs" dxfId="445" priority="14520" operator="lessThan">
      <formula>0</formula>
    </cfRule>
    <cfRule type="cellIs" dxfId="444" priority="14521" operator="greaterThan">
      <formula>0</formula>
    </cfRule>
  </conditionalFormatting>
  <conditionalFormatting sqref="X3:X31 X33:X34">
    <cfRule type="cellIs" dxfId="443" priority="14503" operator="greaterThan">
      <formula>16</formula>
    </cfRule>
    <cfRule type="cellIs" dxfId="442" priority="14504" operator="between">
      <formula>5</formula>
      <formula>16</formula>
    </cfRule>
    <cfRule type="cellIs" dxfId="441" priority="14505" operator="lessThan">
      <formula>5</formula>
    </cfRule>
  </conditionalFormatting>
  <conditionalFormatting sqref="Y3:Y31 Y33:Y34">
    <cfRule type="cellIs" dxfId="440" priority="14497" operator="greaterThan">
      <formula>16</formula>
    </cfRule>
    <cfRule type="cellIs" dxfId="439" priority="14498" operator="between">
      <formula>5</formula>
      <formula>16</formula>
    </cfRule>
    <cfRule type="cellIs" dxfId="438" priority="14499" operator="lessThan">
      <formula>5</formula>
    </cfRule>
  </conditionalFormatting>
  <conditionalFormatting sqref="Z3:Z31 Z33:Z34">
    <cfRule type="cellIs" dxfId="437" priority="14491" operator="greaterThan">
      <formula>16</formula>
    </cfRule>
    <cfRule type="cellIs" dxfId="436" priority="14492" operator="between">
      <formula>5</formula>
      <formula>16</formula>
    </cfRule>
    <cfRule type="cellIs" dxfId="435" priority="14493" operator="lessThan">
      <formula>5</formula>
    </cfRule>
  </conditionalFormatting>
  <conditionalFormatting sqref="AA3:AA31 AA33:AA34">
    <cfRule type="cellIs" dxfId="434" priority="14485" operator="greaterThan">
      <formula>16</formula>
    </cfRule>
    <cfRule type="cellIs" dxfId="433" priority="14486" operator="between">
      <formula>5</formula>
      <formula>16</formula>
    </cfRule>
    <cfRule type="cellIs" dxfId="432" priority="14487" operator="lessThan">
      <formula>5</formula>
    </cfRule>
  </conditionalFormatting>
  <conditionalFormatting sqref="BS4">
    <cfRule type="cellIs" dxfId="431" priority="13848" operator="lessThan">
      <formula>0</formula>
    </cfRule>
    <cfRule type="cellIs" dxfId="430" priority="13849" operator="greaterThan">
      <formula>0</formula>
    </cfRule>
  </conditionalFormatting>
  <conditionalFormatting sqref="BS5">
    <cfRule type="cellIs" dxfId="429" priority="13846" operator="lessThan">
      <formula>0</formula>
    </cfRule>
    <cfRule type="cellIs" dxfId="428" priority="13847" operator="greaterThan">
      <formula>0</formula>
    </cfRule>
  </conditionalFormatting>
  <conditionalFormatting sqref="BS6">
    <cfRule type="cellIs" dxfId="427" priority="13844" operator="lessThan">
      <formula>0</formula>
    </cfRule>
    <cfRule type="cellIs" dxfId="426" priority="13845" operator="greaterThan">
      <formula>0</formula>
    </cfRule>
  </conditionalFormatting>
  <conditionalFormatting sqref="BS7">
    <cfRule type="cellIs" dxfId="425" priority="13842" operator="lessThan">
      <formula>0</formula>
    </cfRule>
    <cfRule type="cellIs" dxfId="424" priority="13843" operator="greaterThan">
      <formula>0</formula>
    </cfRule>
  </conditionalFormatting>
  <conditionalFormatting sqref="BS8">
    <cfRule type="cellIs" dxfId="423" priority="13840" operator="lessThan">
      <formula>0</formula>
    </cfRule>
    <cfRule type="cellIs" dxfId="422" priority="13841" operator="greaterThan">
      <formula>0</formula>
    </cfRule>
  </conditionalFormatting>
  <conditionalFormatting sqref="BS9">
    <cfRule type="cellIs" dxfId="421" priority="13838" operator="lessThan">
      <formula>0</formula>
    </cfRule>
    <cfRule type="cellIs" dxfId="420" priority="13839" operator="greaterThan">
      <formula>0</formula>
    </cfRule>
  </conditionalFormatting>
  <conditionalFormatting sqref="BS10">
    <cfRule type="cellIs" dxfId="419" priority="13836" operator="lessThan">
      <formula>0</formula>
    </cfRule>
    <cfRule type="cellIs" dxfId="418" priority="13837" operator="greaterThan">
      <formula>0</formula>
    </cfRule>
  </conditionalFormatting>
  <conditionalFormatting sqref="BS11">
    <cfRule type="cellIs" dxfId="417" priority="13834" operator="lessThan">
      <formula>0</formula>
    </cfRule>
    <cfRule type="cellIs" dxfId="416" priority="13835" operator="greaterThan">
      <formula>0</formula>
    </cfRule>
  </conditionalFormatting>
  <conditionalFormatting sqref="BS12">
    <cfRule type="cellIs" dxfId="415" priority="13832" operator="lessThan">
      <formula>0</formula>
    </cfRule>
    <cfRule type="cellIs" dxfId="414" priority="13833" operator="greaterThan">
      <formula>0</formula>
    </cfRule>
  </conditionalFormatting>
  <conditionalFormatting sqref="BS13">
    <cfRule type="cellIs" dxfId="413" priority="13830" operator="lessThan">
      <formula>0</formula>
    </cfRule>
    <cfRule type="cellIs" dxfId="412" priority="13831" operator="greaterThan">
      <formula>0</formula>
    </cfRule>
  </conditionalFormatting>
  <conditionalFormatting sqref="BS14:BS31 BS33:BS34">
    <cfRule type="cellIs" dxfId="411" priority="13828" operator="lessThan">
      <formula>0</formula>
    </cfRule>
    <cfRule type="cellIs" dxfId="410" priority="13829" operator="greaterThan">
      <formula>0</formula>
    </cfRule>
  </conditionalFormatting>
  <conditionalFormatting sqref="AF35">
    <cfRule type="colorScale" priority="13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5">
    <cfRule type="colorScale" priority="13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5">
    <cfRule type="colorScale" priority="13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5">
    <cfRule type="colorScale" priority="13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5">
    <cfRule type="colorScale" priority="13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5">
    <cfRule type="colorScale" priority="13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5">
    <cfRule type="colorScale" priority="13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5">
    <cfRule type="colorScale" priority="13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5">
    <cfRule type="colorScale" priority="13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5">
    <cfRule type="colorScale" priority="13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5">
    <cfRule type="colorScale" priority="13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5">
    <cfRule type="colorScale" priority="13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5">
    <cfRule type="colorScale" priority="13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5">
    <cfRule type="colorScale" priority="13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5">
    <cfRule type="colorScale" priority="13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5">
    <cfRule type="cellIs" dxfId="409" priority="13799" operator="lessThan">
      <formula>0</formula>
    </cfRule>
    <cfRule type="cellIs" dxfId="408" priority="13800" operator="greaterThan">
      <formula>0</formula>
    </cfRule>
  </conditionalFormatting>
  <conditionalFormatting sqref="BO35">
    <cfRule type="cellIs" dxfId="407" priority="13797" operator="lessThan">
      <formula>0</formula>
    </cfRule>
    <cfRule type="cellIs" dxfId="406" priority="13798" operator="greaterThan">
      <formula>0</formula>
    </cfRule>
  </conditionalFormatting>
  <conditionalFormatting sqref="BQ35">
    <cfRule type="cellIs" dxfId="405" priority="13795" operator="lessThan">
      <formula>0</formula>
    </cfRule>
    <cfRule type="cellIs" dxfId="404" priority="13796" operator="greaterThan">
      <formula>0</formula>
    </cfRule>
  </conditionalFormatting>
  <conditionalFormatting sqref="BU35">
    <cfRule type="cellIs" dxfId="403" priority="13793" operator="lessThan">
      <formula>0</formula>
    </cfRule>
    <cfRule type="cellIs" dxfId="402" priority="13794" operator="greaterThan">
      <formula>0</formula>
    </cfRule>
  </conditionalFormatting>
  <conditionalFormatting sqref="BX35">
    <cfRule type="cellIs" dxfId="401" priority="13791" operator="lessThan">
      <formula>0</formula>
    </cfRule>
    <cfRule type="cellIs" dxfId="400" priority="13792" operator="greaterThan">
      <formula>0</formula>
    </cfRule>
  </conditionalFormatting>
  <conditionalFormatting sqref="X35">
    <cfRule type="cellIs" dxfId="399" priority="13788" operator="greaterThan">
      <formula>16</formula>
    </cfRule>
    <cfRule type="cellIs" dxfId="398" priority="13789" operator="between">
      <formula>5</formula>
      <formula>16</formula>
    </cfRule>
    <cfRule type="cellIs" dxfId="397" priority="13790" operator="lessThan">
      <formula>5</formula>
    </cfRule>
  </conditionalFormatting>
  <conditionalFormatting sqref="Y35">
    <cfRule type="cellIs" dxfId="396" priority="13785" operator="greaterThan">
      <formula>16</formula>
    </cfRule>
    <cfRule type="cellIs" dxfId="395" priority="13786" operator="between">
      <formula>5</formula>
      <formula>16</formula>
    </cfRule>
    <cfRule type="cellIs" dxfId="394" priority="13787" operator="lessThan">
      <formula>5</formula>
    </cfRule>
  </conditionalFormatting>
  <conditionalFormatting sqref="Z35">
    <cfRule type="cellIs" dxfId="393" priority="13782" operator="greaterThan">
      <formula>16</formula>
    </cfRule>
    <cfRule type="cellIs" dxfId="392" priority="13783" operator="between">
      <formula>5</formula>
      <formula>16</formula>
    </cfRule>
    <cfRule type="cellIs" dxfId="391" priority="13784" operator="lessThan">
      <formula>5</formula>
    </cfRule>
  </conditionalFormatting>
  <conditionalFormatting sqref="AA35">
    <cfRule type="cellIs" dxfId="390" priority="13779" operator="greaterThan">
      <formula>16</formula>
    </cfRule>
    <cfRule type="cellIs" dxfId="389" priority="13780" operator="between">
      <formula>5</formula>
      <formula>16</formula>
    </cfRule>
    <cfRule type="cellIs" dxfId="388" priority="13781" operator="lessThan">
      <formula>5</formula>
    </cfRule>
  </conditionalFormatting>
  <conditionalFormatting sqref="BS35">
    <cfRule type="cellIs" dxfId="387" priority="13732" operator="lessThan">
      <formula>0</formula>
    </cfRule>
    <cfRule type="cellIs" dxfId="386" priority="13733" operator="greaterThan">
      <formula>0</formula>
    </cfRule>
  </conditionalFormatting>
  <conditionalFormatting sqref="AF3:AF31 AF33:AF35">
    <cfRule type="colorScale" priority="13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6">
    <cfRule type="colorScale" priority="13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6">
    <cfRule type="colorScale" priority="13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6">
    <cfRule type="colorScale" priority="13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6">
    <cfRule type="colorScale" priority="13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6">
    <cfRule type="colorScale" priority="13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6">
    <cfRule type="colorScale" priority="13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6">
    <cfRule type="colorScale" priority="13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6">
    <cfRule type="colorScale" priority="13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6">
    <cfRule type="colorScale" priority="13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6">
    <cfRule type="colorScale" priority="13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6">
    <cfRule type="colorScale" priority="13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6">
    <cfRule type="colorScale" priority="13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6">
    <cfRule type="colorScale" priority="13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6">
    <cfRule type="colorScale" priority="13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6">
    <cfRule type="colorScale" priority="13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6">
    <cfRule type="cellIs" dxfId="385" priority="13700" operator="greaterThan">
      <formula>16</formula>
    </cfRule>
    <cfRule type="cellIs" dxfId="384" priority="13701" operator="between">
      <formula>5</formula>
      <formula>16</formula>
    </cfRule>
    <cfRule type="cellIs" dxfId="383" priority="13702" operator="lessThan">
      <formula>5</formula>
    </cfRule>
  </conditionalFormatting>
  <conditionalFormatting sqref="Y36">
    <cfRule type="cellIs" dxfId="382" priority="13697" operator="greaterThan">
      <formula>16</formula>
    </cfRule>
    <cfRule type="cellIs" dxfId="381" priority="13698" operator="between">
      <formula>5</formula>
      <formula>16</formula>
    </cfRule>
    <cfRule type="cellIs" dxfId="380" priority="13699" operator="lessThan">
      <formula>5</formula>
    </cfRule>
  </conditionalFormatting>
  <conditionalFormatting sqref="Z36">
    <cfRule type="cellIs" dxfId="379" priority="13694" operator="greaterThan">
      <formula>16</formula>
    </cfRule>
    <cfRule type="cellIs" dxfId="378" priority="13695" operator="between">
      <formula>5</formula>
      <formula>16</formula>
    </cfRule>
    <cfRule type="cellIs" dxfId="377" priority="13696" operator="lessThan">
      <formula>5</formula>
    </cfRule>
  </conditionalFormatting>
  <conditionalFormatting sqref="AA36">
    <cfRule type="cellIs" dxfId="376" priority="13691" operator="greaterThan">
      <formula>16</formula>
    </cfRule>
    <cfRule type="cellIs" dxfId="375" priority="13692" operator="between">
      <formula>5</formula>
      <formula>16</formula>
    </cfRule>
    <cfRule type="cellIs" dxfId="374" priority="13693" operator="lessThan">
      <formula>5</formula>
    </cfRule>
  </conditionalFormatting>
  <conditionalFormatting sqref="AF36">
    <cfRule type="colorScale" priority="13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1 AF37">
    <cfRule type="colorScale" priority="13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7">
    <cfRule type="colorScale" priority="13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7">
    <cfRule type="colorScale" priority="13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7">
    <cfRule type="colorScale" priority="13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7">
    <cfRule type="colorScale" priority="13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7">
    <cfRule type="colorScale" priority="13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7">
    <cfRule type="colorScale" priority="13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7">
    <cfRule type="colorScale" priority="13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7">
    <cfRule type="colorScale" priority="13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7">
    <cfRule type="colorScale" priority="13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7">
    <cfRule type="colorScale" priority="13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7">
    <cfRule type="colorScale" priority="13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7">
    <cfRule type="colorScale" priority="13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7">
    <cfRule type="colorScale" priority="13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7">
    <cfRule type="colorScale" priority="13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 X51">
    <cfRule type="cellIs" dxfId="373" priority="13615" operator="greaterThan">
      <formula>16</formula>
    </cfRule>
    <cfRule type="cellIs" dxfId="372" priority="13616" operator="between">
      <formula>5</formula>
      <formula>16</formula>
    </cfRule>
    <cfRule type="cellIs" dxfId="371" priority="13617" operator="lessThan">
      <formula>5</formula>
    </cfRule>
  </conditionalFormatting>
  <conditionalFormatting sqref="Y37 Y51">
    <cfRule type="cellIs" dxfId="370" priority="13612" operator="greaterThan">
      <formula>16</formula>
    </cfRule>
    <cfRule type="cellIs" dxfId="369" priority="13613" operator="between">
      <formula>5</formula>
      <formula>16</formula>
    </cfRule>
    <cfRule type="cellIs" dxfId="368" priority="13614" operator="lessThan">
      <formula>5</formula>
    </cfRule>
  </conditionalFormatting>
  <conditionalFormatting sqref="Z37 Z51">
    <cfRule type="cellIs" dxfId="367" priority="13609" operator="greaterThan">
      <formula>16</formula>
    </cfRule>
    <cfRule type="cellIs" dxfId="366" priority="13610" operator="between">
      <formula>5</formula>
      <formula>16</formula>
    </cfRule>
    <cfRule type="cellIs" dxfId="365" priority="13611" operator="lessThan">
      <formula>5</formula>
    </cfRule>
  </conditionalFormatting>
  <conditionalFormatting sqref="AA37 AA51">
    <cfRule type="cellIs" dxfId="364" priority="13606" operator="greaterThan">
      <formula>16</formula>
    </cfRule>
    <cfRule type="cellIs" dxfId="363" priority="13607" operator="between">
      <formula>5</formula>
      <formula>16</formula>
    </cfRule>
    <cfRule type="cellIs" dxfId="362" priority="13608" operator="lessThan">
      <formula>5</formula>
    </cfRule>
  </conditionalFormatting>
  <conditionalFormatting sqref="AF37">
    <cfRule type="colorScale" priority="13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6">
    <cfRule type="cellIs" dxfId="361" priority="13550" operator="lessThan">
      <formula>0</formula>
    </cfRule>
    <cfRule type="cellIs" dxfId="360" priority="13551" operator="greaterThan">
      <formula>0</formula>
    </cfRule>
  </conditionalFormatting>
  <conditionalFormatting sqref="BO36">
    <cfRule type="cellIs" dxfId="359" priority="13548" operator="lessThan">
      <formula>0</formula>
    </cfRule>
    <cfRule type="cellIs" dxfId="358" priority="13549" operator="greaterThan">
      <formula>0</formula>
    </cfRule>
  </conditionalFormatting>
  <conditionalFormatting sqref="BQ36">
    <cfRule type="cellIs" dxfId="357" priority="13546" operator="lessThan">
      <formula>0</formula>
    </cfRule>
    <cfRule type="cellIs" dxfId="356" priority="13547" operator="greaterThan">
      <formula>0</formula>
    </cfRule>
  </conditionalFormatting>
  <conditionalFormatting sqref="BU36">
    <cfRule type="cellIs" dxfId="355" priority="13544" operator="lessThan">
      <formula>0</formula>
    </cfRule>
    <cfRule type="cellIs" dxfId="354" priority="13545" operator="greaterThan">
      <formula>0</formula>
    </cfRule>
  </conditionalFormatting>
  <conditionalFormatting sqref="BX36">
    <cfRule type="cellIs" dxfId="353" priority="13542" operator="lessThan">
      <formula>0</formula>
    </cfRule>
    <cfRule type="cellIs" dxfId="352" priority="13543" operator="greaterThan">
      <formula>0</formula>
    </cfRule>
  </conditionalFormatting>
  <conditionalFormatting sqref="BS36">
    <cfRule type="cellIs" dxfId="351" priority="13540" operator="lessThan">
      <formula>0</formula>
    </cfRule>
    <cfRule type="cellIs" dxfId="350" priority="13541" operator="greaterThan">
      <formula>0</formula>
    </cfRule>
  </conditionalFormatting>
  <conditionalFormatting sqref="BM37:BM39">
    <cfRule type="cellIs" dxfId="349" priority="13536" operator="lessThan">
      <formula>0</formula>
    </cfRule>
    <cfRule type="cellIs" dxfId="348" priority="13537" operator="greaterThan">
      <formula>0</formula>
    </cfRule>
  </conditionalFormatting>
  <conditionalFormatting sqref="BO37:BO39">
    <cfRule type="cellIs" dxfId="347" priority="13534" operator="lessThan">
      <formula>0</formula>
    </cfRule>
    <cfRule type="cellIs" dxfId="346" priority="13535" operator="greaterThan">
      <formula>0</formula>
    </cfRule>
  </conditionalFormatting>
  <conditionalFormatting sqref="BQ37:BQ39">
    <cfRule type="cellIs" dxfId="345" priority="13532" operator="lessThan">
      <formula>0</formula>
    </cfRule>
    <cfRule type="cellIs" dxfId="344" priority="13533" operator="greaterThan">
      <formula>0</formula>
    </cfRule>
  </conditionalFormatting>
  <conditionalFormatting sqref="BU37">
    <cfRule type="cellIs" dxfId="343" priority="13530" operator="lessThan">
      <formula>0</formula>
    </cfRule>
    <cfRule type="cellIs" dxfId="342" priority="13531" operator="greaterThan">
      <formula>0</formula>
    </cfRule>
  </conditionalFormatting>
  <conditionalFormatting sqref="BX37">
    <cfRule type="cellIs" dxfId="341" priority="13528" operator="lessThan">
      <formula>0</formula>
    </cfRule>
    <cfRule type="cellIs" dxfId="340" priority="13529" operator="greaterThan">
      <formula>0</formula>
    </cfRule>
  </conditionalFormatting>
  <conditionalFormatting sqref="BS37:BS39">
    <cfRule type="cellIs" dxfId="339" priority="13526" operator="lessThan">
      <formula>0</formula>
    </cfRule>
    <cfRule type="cellIs" dxfId="338" priority="13527" operator="greaterThan">
      <formula>0</formula>
    </cfRule>
  </conditionalFormatting>
  <conditionalFormatting sqref="BM51">
    <cfRule type="cellIs" dxfId="337" priority="13517" operator="lessThan">
      <formula>0</formula>
    </cfRule>
    <cfRule type="cellIs" dxfId="336" priority="13518" operator="greaterThan">
      <formula>0</formula>
    </cfRule>
  </conditionalFormatting>
  <conditionalFormatting sqref="BO51">
    <cfRule type="cellIs" dxfId="335" priority="13515" operator="lessThan">
      <formula>0</formula>
    </cfRule>
    <cfRule type="cellIs" dxfId="334" priority="13516" operator="greaterThan">
      <formula>0</formula>
    </cfRule>
  </conditionalFormatting>
  <conditionalFormatting sqref="BQ51">
    <cfRule type="cellIs" dxfId="333" priority="13513" operator="lessThan">
      <formula>0</formula>
    </cfRule>
    <cfRule type="cellIs" dxfId="332" priority="13514" operator="greaterThan">
      <formula>0</formula>
    </cfRule>
  </conditionalFormatting>
  <conditionalFormatting sqref="BU51">
    <cfRule type="cellIs" dxfId="331" priority="13511" operator="lessThan">
      <formula>0</formula>
    </cfRule>
    <cfRule type="cellIs" dxfId="330" priority="13512" operator="greaterThan">
      <formula>0</formula>
    </cfRule>
  </conditionalFormatting>
  <conditionalFormatting sqref="BX51">
    <cfRule type="cellIs" dxfId="329" priority="13509" operator="lessThan">
      <formula>0</formula>
    </cfRule>
    <cfRule type="cellIs" dxfId="328" priority="13510" operator="greaterThan">
      <formula>0</formula>
    </cfRule>
  </conditionalFormatting>
  <conditionalFormatting sqref="BS51">
    <cfRule type="cellIs" dxfId="327" priority="13507" operator="lessThan">
      <formula>0</formula>
    </cfRule>
    <cfRule type="cellIs" dxfId="326" priority="13508" operator="greaterThan">
      <formula>0</formula>
    </cfRule>
  </conditionalFormatting>
  <conditionalFormatting sqref="X38">
    <cfRule type="cellIs" dxfId="325" priority="13504" operator="greaterThan">
      <formula>16</formula>
    </cfRule>
    <cfRule type="cellIs" dxfId="324" priority="13505" operator="between">
      <formula>5</formula>
      <formula>16</formula>
    </cfRule>
    <cfRule type="cellIs" dxfId="323" priority="13506" operator="lessThan">
      <formula>5</formula>
    </cfRule>
  </conditionalFormatting>
  <conditionalFormatting sqref="Y38">
    <cfRule type="cellIs" dxfId="322" priority="13501" operator="greaterThan">
      <formula>16</formula>
    </cfRule>
    <cfRule type="cellIs" dxfId="321" priority="13502" operator="between">
      <formula>5</formula>
      <formula>16</formula>
    </cfRule>
    <cfRule type="cellIs" dxfId="320" priority="13503" operator="lessThan">
      <formula>5</formula>
    </cfRule>
  </conditionalFormatting>
  <conditionalFormatting sqref="Z38">
    <cfRule type="cellIs" dxfId="319" priority="13498" operator="greaterThan">
      <formula>16</formula>
    </cfRule>
    <cfRule type="cellIs" dxfId="318" priority="13499" operator="between">
      <formula>5</formula>
      <formula>16</formula>
    </cfRule>
    <cfRule type="cellIs" dxfId="317" priority="13500" operator="lessThan">
      <formula>5</formula>
    </cfRule>
  </conditionalFormatting>
  <conditionalFormatting sqref="AA38">
    <cfRule type="cellIs" dxfId="316" priority="13495" operator="greaterThan">
      <formula>16</formula>
    </cfRule>
    <cfRule type="cellIs" dxfId="315" priority="13496" operator="between">
      <formula>5</formula>
      <formula>16</formula>
    </cfRule>
    <cfRule type="cellIs" dxfId="314" priority="13497" operator="lessThan">
      <formula>5</formula>
    </cfRule>
  </conditionalFormatting>
  <conditionalFormatting sqref="X39">
    <cfRule type="cellIs" dxfId="313" priority="13492" operator="greaterThan">
      <formula>16</formula>
    </cfRule>
    <cfRule type="cellIs" dxfId="312" priority="13493" operator="between">
      <formula>5</formula>
      <formula>16</formula>
    </cfRule>
    <cfRule type="cellIs" dxfId="311" priority="13494" operator="lessThan">
      <formula>5</formula>
    </cfRule>
  </conditionalFormatting>
  <conditionalFormatting sqref="Y39">
    <cfRule type="cellIs" dxfId="310" priority="13489" operator="greaterThan">
      <formula>16</formula>
    </cfRule>
    <cfRule type="cellIs" dxfId="309" priority="13490" operator="between">
      <formula>5</formula>
      <formula>16</formula>
    </cfRule>
    <cfRule type="cellIs" dxfId="308" priority="13491" operator="lessThan">
      <formula>5</formula>
    </cfRule>
  </conditionalFormatting>
  <conditionalFormatting sqref="Z39">
    <cfRule type="cellIs" dxfId="307" priority="13486" operator="greaterThan">
      <formula>16</formula>
    </cfRule>
    <cfRule type="cellIs" dxfId="306" priority="13487" operator="between">
      <formula>5</formula>
      <formula>16</formula>
    </cfRule>
    <cfRule type="cellIs" dxfId="305" priority="13488" operator="lessThan">
      <formula>5</formula>
    </cfRule>
  </conditionalFormatting>
  <conditionalFormatting sqref="AA39">
    <cfRule type="cellIs" dxfId="304" priority="13483" operator="greaterThan">
      <formula>16</formula>
    </cfRule>
    <cfRule type="cellIs" dxfId="303" priority="13484" operator="between">
      <formula>5</formula>
      <formula>16</formula>
    </cfRule>
    <cfRule type="cellIs" dxfId="302" priority="13485" operator="lessThan">
      <formula>5</formula>
    </cfRule>
  </conditionalFormatting>
  <conditionalFormatting sqref="AF38">
    <cfRule type="colorScale" priority="13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8">
    <cfRule type="colorScale" priority="13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8">
    <cfRule type="colorScale" priority="13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8">
    <cfRule type="colorScale" priority="13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8">
    <cfRule type="colorScale" priority="13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8">
    <cfRule type="colorScale" priority="13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8">
    <cfRule type="colorScale" priority="13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8">
    <cfRule type="colorScale" priority="13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8">
    <cfRule type="colorScale" priority="13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8">
    <cfRule type="colorScale" priority="13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8">
    <cfRule type="colorScale" priority="13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8">
    <cfRule type="colorScale" priority="13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8">
    <cfRule type="colorScale" priority="13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8">
    <cfRule type="colorScale" priority="13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8">
    <cfRule type="colorScale" priority="13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8">
    <cfRule type="colorScale" priority="13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9">
    <cfRule type="colorScale" priority="13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9">
    <cfRule type="colorScale" priority="13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9">
    <cfRule type="colorScale" priority="13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9">
    <cfRule type="colorScale" priority="13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9">
    <cfRule type="colorScale" priority="13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9">
    <cfRule type="colorScale" priority="13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9">
    <cfRule type="colorScale" priority="13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9">
    <cfRule type="colorScale" priority="13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9">
    <cfRule type="colorScale" priority="13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9">
    <cfRule type="colorScale" priority="13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9">
    <cfRule type="colorScale" priority="13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9">
    <cfRule type="colorScale" priority="13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9">
    <cfRule type="colorScale" priority="13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9">
    <cfRule type="colorScale" priority="13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9">
    <cfRule type="colorScale" priority="13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9">
    <cfRule type="colorScale" priority="13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31 AF51 AF33:AF39">
    <cfRule type="colorScale" priority="13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38">
    <cfRule type="cellIs" dxfId="301" priority="12659" operator="lessThan">
      <formula>0</formula>
    </cfRule>
    <cfRule type="cellIs" dxfId="300" priority="12660" operator="greaterThan">
      <formula>0</formula>
    </cfRule>
  </conditionalFormatting>
  <conditionalFormatting sqref="BX38">
    <cfRule type="cellIs" dxfId="299" priority="12657" operator="lessThan">
      <formula>0</formula>
    </cfRule>
    <cfRule type="cellIs" dxfId="298" priority="12658" operator="greaterThan">
      <formula>0</formula>
    </cfRule>
  </conditionalFormatting>
  <conditionalFormatting sqref="BX39">
    <cfRule type="cellIs" dxfId="297" priority="12645" operator="lessThan">
      <formula>0</formula>
    </cfRule>
    <cfRule type="cellIs" dxfId="296" priority="12646" operator="greaterThan">
      <formula>0</formula>
    </cfRule>
  </conditionalFormatting>
  <conditionalFormatting sqref="BU39">
    <cfRule type="cellIs" dxfId="295" priority="12647" operator="lessThan">
      <formula>0</formula>
    </cfRule>
    <cfRule type="cellIs" dxfId="294" priority="12648" operator="greaterThan">
      <formula>0</formula>
    </cfRule>
  </conditionalFormatting>
  <conditionalFormatting sqref="BM40">
    <cfRule type="cellIs" dxfId="293" priority="12635" operator="lessThan">
      <formula>0</formula>
    </cfRule>
    <cfRule type="cellIs" dxfId="292" priority="12636" operator="greaterThan">
      <formula>0</formula>
    </cfRule>
  </conditionalFormatting>
  <conditionalFormatting sqref="BO40">
    <cfRule type="cellIs" dxfId="291" priority="12633" operator="lessThan">
      <formula>0</formula>
    </cfRule>
    <cfRule type="cellIs" dxfId="290" priority="12634" operator="greaterThan">
      <formula>0</formula>
    </cfRule>
  </conditionalFormatting>
  <conditionalFormatting sqref="BQ40">
    <cfRule type="cellIs" dxfId="289" priority="12631" operator="lessThan">
      <formula>0</formula>
    </cfRule>
    <cfRule type="cellIs" dxfId="288" priority="12632" operator="greaterThan">
      <formula>0</formula>
    </cfRule>
  </conditionalFormatting>
  <conditionalFormatting sqref="BS40">
    <cfRule type="cellIs" dxfId="287" priority="12629" operator="lessThan">
      <formula>0</formula>
    </cfRule>
    <cfRule type="cellIs" dxfId="286" priority="12630" operator="greaterThan">
      <formula>0</formula>
    </cfRule>
  </conditionalFormatting>
  <conditionalFormatting sqref="X40">
    <cfRule type="cellIs" dxfId="285" priority="12623" operator="greaterThan">
      <formula>16</formula>
    </cfRule>
    <cfRule type="cellIs" dxfId="284" priority="12624" operator="between">
      <formula>5</formula>
      <formula>16</formula>
    </cfRule>
    <cfRule type="cellIs" dxfId="283" priority="12625" operator="lessThan">
      <formula>5</formula>
    </cfRule>
  </conditionalFormatting>
  <conditionalFormatting sqref="Y40">
    <cfRule type="cellIs" dxfId="282" priority="12620" operator="greaterThan">
      <formula>16</formula>
    </cfRule>
    <cfRule type="cellIs" dxfId="281" priority="12621" operator="between">
      <formula>5</formula>
      <formula>16</formula>
    </cfRule>
    <cfRule type="cellIs" dxfId="280" priority="12622" operator="lessThan">
      <formula>5</formula>
    </cfRule>
  </conditionalFormatting>
  <conditionalFormatting sqref="Z40">
    <cfRule type="cellIs" dxfId="279" priority="12617" operator="greaterThan">
      <formula>16</formula>
    </cfRule>
    <cfRule type="cellIs" dxfId="278" priority="12618" operator="between">
      <formula>5</formula>
      <formula>16</formula>
    </cfRule>
    <cfRule type="cellIs" dxfId="277" priority="12619" operator="lessThan">
      <formula>5</formula>
    </cfRule>
  </conditionalFormatting>
  <conditionalFormatting sqref="AA40">
    <cfRule type="cellIs" dxfId="276" priority="12614" operator="greaterThan">
      <formula>16</formula>
    </cfRule>
    <cfRule type="cellIs" dxfId="275" priority="12615" operator="between">
      <formula>5</formula>
      <formula>16</formula>
    </cfRule>
    <cfRule type="cellIs" dxfId="274" priority="12616" operator="lessThan">
      <formula>5</formula>
    </cfRule>
  </conditionalFormatting>
  <conditionalFormatting sqref="AF40">
    <cfRule type="colorScale" priority="12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0">
    <cfRule type="colorScale" priority="12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0">
    <cfRule type="colorScale" priority="12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0">
    <cfRule type="colorScale" priority="12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0">
    <cfRule type="colorScale" priority="12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0">
    <cfRule type="colorScale" priority="12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0">
    <cfRule type="colorScale" priority="12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0">
    <cfRule type="colorScale" priority="1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0">
    <cfRule type="colorScale" priority="12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0">
    <cfRule type="colorScale" priority="12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0">
    <cfRule type="colorScale" priority="12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0">
    <cfRule type="colorScale" priority="12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0">
    <cfRule type="colorScale" priority="12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0">
    <cfRule type="colorScale" priority="12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0">
    <cfRule type="colorScale" priority="12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0">
    <cfRule type="colorScale" priority="1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0">
    <cfRule type="colorScale" priority="12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40">
    <cfRule type="cellIs" dxfId="273" priority="12538" operator="lessThan">
      <formula>0</formula>
    </cfRule>
    <cfRule type="cellIs" dxfId="272" priority="12539" operator="greaterThan">
      <formula>0</formula>
    </cfRule>
  </conditionalFormatting>
  <conditionalFormatting sqref="BX40">
    <cfRule type="cellIs" dxfId="271" priority="12536" operator="lessThan">
      <formula>0</formula>
    </cfRule>
    <cfRule type="cellIs" dxfId="270" priority="12537" operator="greaterThan">
      <formula>0</formula>
    </cfRule>
  </conditionalFormatting>
  <conditionalFormatting sqref="BI4:BI44 BI51">
    <cfRule type="cellIs" dxfId="269" priority="12532" operator="lessThan">
      <formula>0</formula>
    </cfRule>
    <cfRule type="cellIs" dxfId="268" priority="12533" operator="greaterThan">
      <formula>0</formula>
    </cfRule>
  </conditionalFormatting>
  <conditionalFormatting sqref="X41">
    <cfRule type="cellIs" dxfId="267" priority="12529" operator="greaterThan">
      <formula>16</formula>
    </cfRule>
    <cfRule type="cellIs" dxfId="266" priority="12530" operator="between">
      <formula>5</formula>
      <formula>16</formula>
    </cfRule>
    <cfRule type="cellIs" dxfId="265" priority="12531" operator="lessThan">
      <formula>5</formula>
    </cfRule>
  </conditionalFormatting>
  <conditionalFormatting sqref="Y41">
    <cfRule type="cellIs" dxfId="264" priority="12526" operator="greaterThan">
      <formula>16</formula>
    </cfRule>
    <cfRule type="cellIs" dxfId="263" priority="12527" operator="between">
      <formula>5</formula>
      <formula>16</formula>
    </cfRule>
    <cfRule type="cellIs" dxfId="262" priority="12528" operator="lessThan">
      <formula>5</formula>
    </cfRule>
  </conditionalFormatting>
  <conditionalFormatting sqref="Z41">
    <cfRule type="cellIs" dxfId="261" priority="12523" operator="greaterThan">
      <formula>16</formula>
    </cfRule>
    <cfRule type="cellIs" dxfId="260" priority="12524" operator="between">
      <formula>5</formula>
      <formula>16</formula>
    </cfRule>
    <cfRule type="cellIs" dxfId="259" priority="12525" operator="lessThan">
      <formula>5</formula>
    </cfRule>
  </conditionalFormatting>
  <conditionalFormatting sqref="AA41">
    <cfRule type="cellIs" dxfId="258" priority="12520" operator="greaterThan">
      <formula>16</formula>
    </cfRule>
    <cfRule type="cellIs" dxfId="257" priority="12521" operator="between">
      <formula>5</formula>
      <formula>16</formula>
    </cfRule>
    <cfRule type="cellIs" dxfId="256" priority="12522" operator="lessThan">
      <formula>5</formula>
    </cfRule>
  </conditionalFormatting>
  <conditionalFormatting sqref="AF41">
    <cfRule type="colorScale" priority="12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1">
    <cfRule type="colorScale" priority="12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1">
    <cfRule type="colorScale" priority="12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1">
    <cfRule type="colorScale" priority="1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1">
    <cfRule type="colorScale" priority="12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1">
    <cfRule type="colorScale" priority="12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1">
    <cfRule type="colorScale" priority="12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1">
    <cfRule type="colorScale" priority="1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1">
    <cfRule type="colorScale" priority="1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1">
    <cfRule type="colorScale" priority="1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1">
    <cfRule type="colorScale" priority="12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1">
    <cfRule type="colorScale" priority="12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1">
    <cfRule type="colorScale" priority="12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1">
    <cfRule type="colorScale" priority="1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1">
    <cfRule type="colorScale" priority="12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1">
    <cfRule type="colorScale" priority="12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1">
    <cfRule type="colorScale" priority="12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41:BM42">
    <cfRule type="cellIs" dxfId="255" priority="12450" operator="lessThan">
      <formula>0</formula>
    </cfRule>
    <cfRule type="cellIs" dxfId="254" priority="12451" operator="greaterThan">
      <formula>0</formula>
    </cfRule>
  </conditionalFormatting>
  <conditionalFormatting sqref="BO41:BO42">
    <cfRule type="cellIs" dxfId="253" priority="12448" operator="lessThan">
      <formula>0</formula>
    </cfRule>
    <cfRule type="cellIs" dxfId="252" priority="12449" operator="greaterThan">
      <formula>0</formula>
    </cfRule>
  </conditionalFormatting>
  <conditionalFormatting sqref="BQ41:BQ42">
    <cfRule type="cellIs" dxfId="251" priority="12446" operator="lessThan">
      <formula>0</formula>
    </cfRule>
    <cfRule type="cellIs" dxfId="250" priority="12447" operator="greaterThan">
      <formula>0</formula>
    </cfRule>
  </conditionalFormatting>
  <conditionalFormatting sqref="BS41">
    <cfRule type="cellIs" dxfId="249" priority="12444" operator="lessThan">
      <formula>0</formula>
    </cfRule>
    <cfRule type="cellIs" dxfId="248" priority="12445" operator="greaterThan">
      <formula>0</formula>
    </cfRule>
  </conditionalFormatting>
  <conditionalFormatting sqref="BU41">
    <cfRule type="cellIs" dxfId="247" priority="12442" operator="lessThan">
      <formula>0</formula>
    </cfRule>
    <cfRule type="cellIs" dxfId="246" priority="12443" operator="greaterThan">
      <formula>0</formula>
    </cfRule>
  </conditionalFormatting>
  <conditionalFormatting sqref="BX41">
    <cfRule type="cellIs" dxfId="245" priority="12440" operator="lessThan">
      <formula>0</formula>
    </cfRule>
    <cfRule type="cellIs" dxfId="244" priority="12441" operator="greaterThan">
      <formula>0</formula>
    </cfRule>
  </conditionalFormatting>
  <conditionalFormatting sqref="X43">
    <cfRule type="cellIs" dxfId="243" priority="12437" operator="greaterThan">
      <formula>16</formula>
    </cfRule>
    <cfRule type="cellIs" dxfId="242" priority="12438" operator="between">
      <formula>5</formula>
      <formula>16</formula>
    </cfRule>
    <cfRule type="cellIs" dxfId="241" priority="12439" operator="lessThan">
      <formula>5</formula>
    </cfRule>
  </conditionalFormatting>
  <conditionalFormatting sqref="Y43">
    <cfRule type="cellIs" dxfId="240" priority="12434" operator="greaterThan">
      <formula>16</formula>
    </cfRule>
    <cfRule type="cellIs" dxfId="239" priority="12435" operator="between">
      <formula>5</formula>
      <formula>16</formula>
    </cfRule>
    <cfRule type="cellIs" dxfId="238" priority="12436" operator="lessThan">
      <formula>5</formula>
    </cfRule>
  </conditionalFormatting>
  <conditionalFormatting sqref="Z43">
    <cfRule type="cellIs" dxfId="237" priority="12431" operator="greaterThan">
      <formula>16</formula>
    </cfRule>
    <cfRule type="cellIs" dxfId="236" priority="12432" operator="between">
      <formula>5</formula>
      <formula>16</formula>
    </cfRule>
    <cfRule type="cellIs" dxfId="235" priority="12433" operator="lessThan">
      <formula>5</formula>
    </cfRule>
  </conditionalFormatting>
  <conditionalFormatting sqref="AA43">
    <cfRule type="cellIs" dxfId="234" priority="12428" operator="greaterThan">
      <formula>16</formula>
    </cfRule>
    <cfRule type="cellIs" dxfId="233" priority="12429" operator="between">
      <formula>5</formula>
      <formula>16</formula>
    </cfRule>
    <cfRule type="cellIs" dxfId="232" priority="12430" operator="lessThan">
      <formula>5</formula>
    </cfRule>
  </conditionalFormatting>
  <conditionalFormatting sqref="AF3:AF31 AF51 AF43 AF33:AF41">
    <cfRule type="colorScale" priority="12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3">
    <cfRule type="colorScale" priority="1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3">
    <cfRule type="colorScale" priority="1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3">
    <cfRule type="colorScale" priority="1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3">
    <cfRule type="colorScale" priority="1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3">
    <cfRule type="colorScale" priority="12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3">
    <cfRule type="colorScale" priority="1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3">
    <cfRule type="colorScale" priority="1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3">
    <cfRule type="colorScale" priority="1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3">
    <cfRule type="colorScale" priority="12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3">
    <cfRule type="colorScale" priority="12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3">
    <cfRule type="colorScale" priority="12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3">
    <cfRule type="colorScale" priority="12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3">
    <cfRule type="colorScale" priority="1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3">
    <cfRule type="colorScale" priority="12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3">
    <cfRule type="colorScale" priority="12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3">
    <cfRule type="colorScale" priority="12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3">
    <cfRule type="colorScale" priority="12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43:BM44">
    <cfRule type="cellIs" dxfId="231" priority="12331" operator="lessThan">
      <formula>0</formula>
    </cfRule>
    <cfRule type="cellIs" dxfId="230" priority="12332" operator="greaterThan">
      <formula>0</formula>
    </cfRule>
  </conditionalFormatting>
  <conditionalFormatting sqref="BO43">
    <cfRule type="cellIs" dxfId="229" priority="12329" operator="lessThan">
      <formula>0</formula>
    </cfRule>
    <cfRule type="cellIs" dxfId="228" priority="12330" operator="greaterThan">
      <formula>0</formula>
    </cfRule>
  </conditionalFormatting>
  <conditionalFormatting sqref="BQ43">
    <cfRule type="cellIs" dxfId="227" priority="12327" operator="lessThan">
      <formula>0</formula>
    </cfRule>
    <cfRule type="cellIs" dxfId="226" priority="12328" operator="greaterThan">
      <formula>0</formula>
    </cfRule>
  </conditionalFormatting>
  <conditionalFormatting sqref="BS43">
    <cfRule type="cellIs" dxfId="225" priority="12325" operator="lessThan">
      <formula>0</formula>
    </cfRule>
    <cfRule type="cellIs" dxfId="224" priority="12326" operator="greaterThan">
      <formula>0</formula>
    </cfRule>
  </conditionalFormatting>
  <conditionalFormatting sqref="BU43">
    <cfRule type="cellIs" dxfId="223" priority="12323" operator="lessThan">
      <formula>0</formula>
    </cfRule>
    <cfRule type="cellIs" dxfId="222" priority="12324" operator="greaterThan">
      <formula>0</formula>
    </cfRule>
  </conditionalFormatting>
  <conditionalFormatting sqref="BX43">
    <cfRule type="cellIs" dxfId="221" priority="12321" operator="lessThan">
      <formula>0</formula>
    </cfRule>
    <cfRule type="cellIs" dxfId="220" priority="12322" operator="greaterThan">
      <formula>0</formula>
    </cfRule>
  </conditionalFormatting>
  <conditionalFormatting sqref="X44">
    <cfRule type="cellIs" dxfId="219" priority="12318" operator="greaterThan">
      <formula>16</formula>
    </cfRule>
    <cfRule type="cellIs" dxfId="218" priority="12319" operator="between">
      <formula>5</formula>
      <formula>16</formula>
    </cfRule>
    <cfRule type="cellIs" dxfId="217" priority="12320" operator="lessThan">
      <formula>5</formula>
    </cfRule>
  </conditionalFormatting>
  <conditionalFormatting sqref="Y44">
    <cfRule type="cellIs" dxfId="216" priority="12315" operator="greaterThan">
      <formula>16</formula>
    </cfRule>
    <cfRule type="cellIs" dxfId="215" priority="12316" operator="between">
      <formula>5</formula>
      <formula>16</formula>
    </cfRule>
    <cfRule type="cellIs" dxfId="214" priority="12317" operator="lessThan">
      <formula>5</formula>
    </cfRule>
  </conditionalFormatting>
  <conditionalFormatting sqref="Z44">
    <cfRule type="cellIs" dxfId="213" priority="12312" operator="greaterThan">
      <formula>16</formula>
    </cfRule>
    <cfRule type="cellIs" dxfId="212" priority="12313" operator="between">
      <formula>5</formula>
      <formula>16</formula>
    </cfRule>
    <cfRule type="cellIs" dxfId="211" priority="12314" operator="lessThan">
      <formula>5</formula>
    </cfRule>
  </conditionalFormatting>
  <conditionalFormatting sqref="AA44">
    <cfRule type="cellIs" dxfId="210" priority="12309" operator="greaterThan">
      <formula>16</formula>
    </cfRule>
    <cfRule type="cellIs" dxfId="209" priority="12310" operator="between">
      <formula>5</formula>
      <formula>16</formula>
    </cfRule>
    <cfRule type="cellIs" dxfId="208" priority="12311" operator="lessThan">
      <formula>5</formula>
    </cfRule>
  </conditionalFormatting>
  <conditionalFormatting sqref="AF44">
    <cfRule type="colorScale" priority="1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4">
    <cfRule type="colorScale" priority="12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4">
    <cfRule type="colorScale" priority="12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4">
    <cfRule type="colorScale" priority="12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4">
    <cfRule type="colorScale" priority="12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4">
    <cfRule type="colorScale" priority="12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4">
    <cfRule type="colorScale" priority="12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4">
    <cfRule type="colorScale" priority="12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4">
    <cfRule type="colorScale" priority="12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4">
    <cfRule type="colorScale" priority="1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4">
    <cfRule type="colorScale" priority="12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4">
    <cfRule type="colorScale" priority="12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4">
    <cfRule type="colorScale" priority="12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4">
    <cfRule type="colorScale" priority="12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4">
    <cfRule type="colorScale" priority="12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4">
    <cfRule type="colorScale" priority="12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4">
    <cfRule type="colorScale" priority="12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4">
    <cfRule type="colorScale" priority="12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31 AF43:AF44 AF33:AF41 AF51">
    <cfRule type="colorScale" priority="12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44">
    <cfRule type="cellIs" dxfId="207" priority="12231" operator="lessThan">
      <formula>0</formula>
    </cfRule>
    <cfRule type="cellIs" dxfId="206" priority="12232" operator="greaterThan">
      <formula>0</formula>
    </cfRule>
  </conditionalFormatting>
  <conditionalFormatting sqref="BQ44">
    <cfRule type="cellIs" dxfId="205" priority="12229" operator="lessThan">
      <formula>0</formula>
    </cfRule>
    <cfRule type="cellIs" dxfId="204" priority="12230" operator="greaterThan">
      <formula>0</formula>
    </cfRule>
  </conditionalFormatting>
  <conditionalFormatting sqref="BS44">
    <cfRule type="cellIs" dxfId="203" priority="12227" operator="lessThan">
      <formula>0</formula>
    </cfRule>
    <cfRule type="cellIs" dxfId="202" priority="12228" operator="greaterThan">
      <formula>0</formula>
    </cfRule>
  </conditionalFormatting>
  <conditionalFormatting sqref="BU44">
    <cfRule type="cellIs" dxfId="201" priority="12225" operator="lessThan">
      <formula>0</formula>
    </cfRule>
    <cfRule type="cellIs" dxfId="200" priority="12226" operator="greaterThan">
      <formula>0</formula>
    </cfRule>
  </conditionalFormatting>
  <conditionalFormatting sqref="BX44">
    <cfRule type="cellIs" dxfId="199" priority="12223" operator="lessThan">
      <formula>0</formula>
    </cfRule>
    <cfRule type="cellIs" dxfId="198" priority="12224" operator="greaterThan">
      <formula>0</formula>
    </cfRule>
  </conditionalFormatting>
  <conditionalFormatting sqref="X42">
    <cfRule type="cellIs" dxfId="197" priority="12220" operator="greaterThan">
      <formula>16</formula>
    </cfRule>
    <cfRule type="cellIs" dxfId="196" priority="12221" operator="between">
      <formula>5</formula>
      <formula>16</formula>
    </cfRule>
    <cfRule type="cellIs" dxfId="195" priority="12222" operator="lessThan">
      <formula>5</formula>
    </cfRule>
  </conditionalFormatting>
  <conditionalFormatting sqref="Y42">
    <cfRule type="cellIs" dxfId="194" priority="12217" operator="greaterThan">
      <formula>16</formula>
    </cfRule>
    <cfRule type="cellIs" dxfId="193" priority="12218" operator="between">
      <formula>5</formula>
      <formula>16</formula>
    </cfRule>
    <cfRule type="cellIs" dxfId="192" priority="12219" operator="lessThan">
      <formula>5</formula>
    </cfRule>
  </conditionalFormatting>
  <conditionalFormatting sqref="Z42">
    <cfRule type="cellIs" dxfId="191" priority="12214" operator="greaterThan">
      <formula>16</formula>
    </cfRule>
    <cfRule type="cellIs" dxfId="190" priority="12215" operator="between">
      <formula>5</formula>
      <formula>16</formula>
    </cfRule>
    <cfRule type="cellIs" dxfId="189" priority="12216" operator="lessThan">
      <formula>5</formula>
    </cfRule>
  </conditionalFormatting>
  <conditionalFormatting sqref="AA42">
    <cfRule type="cellIs" dxfId="188" priority="12211" operator="greaterThan">
      <formula>16</formula>
    </cfRule>
    <cfRule type="cellIs" dxfId="187" priority="12212" operator="between">
      <formula>5</formula>
      <formula>16</formula>
    </cfRule>
    <cfRule type="cellIs" dxfId="186" priority="12213" operator="lessThan">
      <formula>5</formula>
    </cfRule>
  </conditionalFormatting>
  <conditionalFormatting sqref="AF42">
    <cfRule type="colorScale" priority="12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2">
    <cfRule type="colorScale" priority="12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2">
    <cfRule type="colorScale" priority="12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2">
    <cfRule type="colorScale" priority="12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2">
    <cfRule type="colorScale" priority="12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2">
    <cfRule type="colorScale" priority="1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2">
    <cfRule type="colorScale" priority="1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2">
    <cfRule type="colorScale" priority="1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2">
    <cfRule type="colorScale" priority="12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2">
    <cfRule type="colorScale" priority="12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2">
    <cfRule type="colorScale" priority="1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2">
    <cfRule type="colorScale" priority="12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2">
    <cfRule type="colorScale" priority="12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2">
    <cfRule type="colorScale" priority="12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2">
    <cfRule type="colorScale" priority="12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2">
    <cfRule type="colorScale" priority="12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2">
    <cfRule type="colorScale" priority="1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2">
    <cfRule type="colorScale" priority="12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2">
    <cfRule type="colorScale" priority="12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31 AF33:AF44 AF51">
    <cfRule type="colorScale" priority="12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42">
    <cfRule type="cellIs" dxfId="185" priority="12129" operator="lessThan">
      <formula>0</formula>
    </cfRule>
    <cfRule type="cellIs" dxfId="184" priority="12130" operator="greaterThan">
      <formula>0</formula>
    </cfRule>
  </conditionalFormatting>
  <conditionalFormatting sqref="BU42">
    <cfRule type="cellIs" dxfId="183" priority="12127" operator="lessThan">
      <formula>0</formula>
    </cfRule>
    <cfRule type="cellIs" dxfId="182" priority="12128" operator="greaterThan">
      <formula>0</formula>
    </cfRule>
  </conditionalFormatting>
  <conditionalFormatting sqref="BX42">
    <cfRule type="cellIs" dxfId="181" priority="12125" operator="lessThan">
      <formula>0</formula>
    </cfRule>
    <cfRule type="cellIs" dxfId="180" priority="12126" operator="greaterThan">
      <formula>0</formula>
    </cfRule>
  </conditionalFormatting>
  <conditionalFormatting sqref="AF32">
    <cfRule type="colorScale" priority="1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">
    <cfRule type="colorScale" priority="1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">
    <cfRule type="colorScale" priority="1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">
    <cfRule type="colorScale" priority="12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">
    <cfRule type="colorScale" priority="1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">
    <cfRule type="colorScale" priority="12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">
    <cfRule type="colorScale" priority="1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">
    <cfRule type="colorScale" priority="12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">
    <cfRule type="colorScale" priority="12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">
    <cfRule type="colorScale" priority="12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">
    <cfRule type="colorScale" priority="12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">
    <cfRule type="colorScale" priority="1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">
    <cfRule type="colorScale" priority="12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">
    <cfRule type="colorScale" priority="1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">
    <cfRule type="colorScale" priority="12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2">
    <cfRule type="cellIs" dxfId="179" priority="12107" operator="greaterThan">
      <formula>16</formula>
    </cfRule>
    <cfRule type="cellIs" dxfId="178" priority="12108" operator="between">
      <formula>5</formula>
      <formula>16</formula>
    </cfRule>
    <cfRule type="cellIs" dxfId="177" priority="12109" operator="lessThan">
      <formula>5</formula>
    </cfRule>
  </conditionalFormatting>
  <conditionalFormatting sqref="Y32">
    <cfRule type="cellIs" dxfId="176" priority="12104" operator="greaterThan">
      <formula>16</formula>
    </cfRule>
    <cfRule type="cellIs" dxfId="175" priority="12105" operator="between">
      <formula>5</formula>
      <formula>16</formula>
    </cfRule>
    <cfRule type="cellIs" dxfId="174" priority="12106" operator="lessThan">
      <formula>5</formula>
    </cfRule>
  </conditionalFormatting>
  <conditionalFormatting sqref="Z32">
    <cfRule type="cellIs" dxfId="173" priority="12101" operator="greaterThan">
      <formula>16</formula>
    </cfRule>
    <cfRule type="cellIs" dxfId="172" priority="12102" operator="between">
      <formula>5</formula>
      <formula>16</formula>
    </cfRule>
    <cfRule type="cellIs" dxfId="171" priority="12103" operator="lessThan">
      <formula>5</formula>
    </cfRule>
  </conditionalFormatting>
  <conditionalFormatting sqref="AA32">
    <cfRule type="cellIs" dxfId="170" priority="12098" operator="greaterThan">
      <formula>16</formula>
    </cfRule>
    <cfRule type="cellIs" dxfId="169" priority="12099" operator="between">
      <formula>5</formula>
      <formula>16</formula>
    </cfRule>
    <cfRule type="cellIs" dxfId="168" priority="12100" operator="lessThan">
      <formula>5</formula>
    </cfRule>
  </conditionalFormatting>
  <conditionalFormatting sqref="AF32">
    <cfRule type="colorScale" priority="12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">
    <cfRule type="colorScale" priority="12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">
    <cfRule type="colorScale" priority="12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">
    <cfRule type="colorScale" priority="12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">
    <cfRule type="colorScale" priority="12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32">
    <cfRule type="cellIs" dxfId="167" priority="12031" operator="lessThan">
      <formula>0</formula>
    </cfRule>
    <cfRule type="cellIs" dxfId="166" priority="12032" operator="greaterThan">
      <formula>0</formula>
    </cfRule>
  </conditionalFormatting>
  <conditionalFormatting sqref="BM32">
    <cfRule type="cellIs" dxfId="165" priority="12029" operator="lessThan">
      <formula>0</formula>
    </cfRule>
    <cfRule type="cellIs" dxfId="164" priority="12030" operator="greaterThan">
      <formula>0</formula>
    </cfRule>
  </conditionalFormatting>
  <conditionalFormatting sqref="BQ32">
    <cfRule type="cellIs" dxfId="163" priority="12027" operator="lessThan">
      <formula>0</formula>
    </cfRule>
    <cfRule type="cellIs" dxfId="162" priority="12028" operator="greaterThan">
      <formula>0</formula>
    </cfRule>
  </conditionalFormatting>
  <conditionalFormatting sqref="BU32">
    <cfRule type="cellIs" dxfId="161" priority="12025" operator="lessThan">
      <formula>0</formula>
    </cfRule>
    <cfRule type="cellIs" dxfId="160" priority="12026" operator="greaterThan">
      <formula>0</formula>
    </cfRule>
  </conditionalFormatting>
  <conditionalFormatting sqref="BS32">
    <cfRule type="cellIs" dxfId="159" priority="12023" operator="lessThan">
      <formula>0</formula>
    </cfRule>
    <cfRule type="cellIs" dxfId="158" priority="12024" operator="greaterThan">
      <formula>0</formula>
    </cfRule>
  </conditionalFormatting>
  <conditionalFormatting sqref="BX32">
    <cfRule type="cellIs" dxfId="157" priority="12021" operator="lessThan">
      <formula>0</formula>
    </cfRule>
    <cfRule type="cellIs" dxfId="156" priority="12022" operator="greaterThan">
      <formula>0</formula>
    </cfRule>
  </conditionalFormatting>
  <conditionalFormatting sqref="BI45">
    <cfRule type="cellIs" dxfId="155" priority="12004" operator="lessThan">
      <formula>0</formula>
    </cfRule>
    <cfRule type="cellIs" dxfId="154" priority="12005" operator="greaterThan">
      <formula>0</formula>
    </cfRule>
  </conditionalFormatting>
  <conditionalFormatting sqref="BM45">
    <cfRule type="cellIs" dxfId="153" priority="11997" operator="lessThan">
      <formula>0</formula>
    </cfRule>
    <cfRule type="cellIs" dxfId="152" priority="11998" operator="greaterThan">
      <formula>0</formula>
    </cfRule>
  </conditionalFormatting>
  <conditionalFormatting sqref="X45">
    <cfRule type="cellIs" dxfId="151" priority="11994" operator="greaterThan">
      <formula>16</formula>
    </cfRule>
    <cfRule type="cellIs" dxfId="150" priority="11995" operator="between">
      <formula>5</formula>
      <formula>16</formula>
    </cfRule>
    <cfRule type="cellIs" dxfId="149" priority="11996" operator="lessThan">
      <formula>5</formula>
    </cfRule>
  </conditionalFormatting>
  <conditionalFormatting sqref="Y45">
    <cfRule type="cellIs" dxfId="148" priority="11991" operator="greaterThan">
      <formula>16</formula>
    </cfRule>
    <cfRule type="cellIs" dxfId="147" priority="11992" operator="between">
      <formula>5</formula>
      <formula>16</formula>
    </cfRule>
    <cfRule type="cellIs" dxfId="146" priority="11993" operator="lessThan">
      <formula>5</formula>
    </cfRule>
  </conditionalFormatting>
  <conditionalFormatting sqref="Z45">
    <cfRule type="cellIs" dxfId="145" priority="11988" operator="greaterThan">
      <formula>16</formula>
    </cfRule>
    <cfRule type="cellIs" dxfId="144" priority="11989" operator="between">
      <formula>5</formula>
      <formula>16</formula>
    </cfRule>
    <cfRule type="cellIs" dxfId="143" priority="11990" operator="lessThan">
      <formula>5</formula>
    </cfRule>
  </conditionalFormatting>
  <conditionalFormatting sqref="AA45">
    <cfRule type="cellIs" dxfId="142" priority="11985" operator="greaterThan">
      <formula>16</formula>
    </cfRule>
    <cfRule type="cellIs" dxfId="141" priority="11986" operator="between">
      <formula>5</formula>
      <formula>16</formula>
    </cfRule>
    <cfRule type="cellIs" dxfId="140" priority="11987" operator="lessThan">
      <formula>5</formula>
    </cfRule>
  </conditionalFormatting>
  <conditionalFormatting sqref="AF45">
    <cfRule type="colorScale" priority="11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5">
    <cfRule type="colorScale" priority="11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5">
    <cfRule type="colorScale" priority="11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5">
    <cfRule type="colorScale" priority="11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5">
    <cfRule type="colorScale" priority="11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5">
    <cfRule type="colorScale" priority="1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5">
    <cfRule type="colorScale" priority="1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5">
    <cfRule type="colorScale" priority="1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5">
    <cfRule type="colorScale" priority="1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5">
    <cfRule type="colorScale" priority="1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5">
    <cfRule type="colorScale" priority="1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5">
    <cfRule type="colorScale" priority="1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5">
    <cfRule type="colorScale" priority="1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5">
    <cfRule type="colorScale" priority="1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5">
    <cfRule type="colorScale" priority="11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5">
    <cfRule type="colorScale" priority="11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5">
    <cfRule type="colorScale" priority="11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5">
    <cfRule type="colorScale" priority="1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5">
    <cfRule type="colorScale" priority="1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45">
    <cfRule type="cellIs" dxfId="139" priority="11907" operator="lessThan">
      <formula>0</formula>
    </cfRule>
    <cfRule type="cellIs" dxfId="138" priority="11908" operator="greaterThan">
      <formula>0</formula>
    </cfRule>
  </conditionalFormatting>
  <conditionalFormatting sqref="BQ45">
    <cfRule type="cellIs" dxfId="137" priority="11905" operator="lessThan">
      <formula>0</formula>
    </cfRule>
    <cfRule type="cellIs" dxfId="136" priority="11906" operator="greaterThan">
      <formula>0</formula>
    </cfRule>
  </conditionalFormatting>
  <conditionalFormatting sqref="BS45">
    <cfRule type="cellIs" dxfId="135" priority="11903" operator="lessThan">
      <formula>0</formula>
    </cfRule>
    <cfRule type="cellIs" dxfId="134" priority="11904" operator="greaterThan">
      <formula>0</formula>
    </cfRule>
  </conditionalFormatting>
  <conditionalFormatting sqref="BU45">
    <cfRule type="cellIs" dxfId="133" priority="11901" operator="lessThan">
      <formula>0</formula>
    </cfRule>
    <cfRule type="cellIs" dxfId="132" priority="11902" operator="greaterThan">
      <formula>0</formula>
    </cfRule>
  </conditionalFormatting>
  <conditionalFormatting sqref="BX45">
    <cfRule type="cellIs" dxfId="131" priority="11899" operator="lessThan">
      <formula>0</formula>
    </cfRule>
    <cfRule type="cellIs" dxfId="130" priority="11900" operator="greaterThan">
      <formula>0</formula>
    </cfRule>
  </conditionalFormatting>
  <conditionalFormatting sqref="AF45">
    <cfRule type="colorScale" priority="11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45 AF51">
    <cfRule type="colorScale" priority="1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46">
    <cfRule type="cellIs" dxfId="129" priority="10733" operator="lessThan">
      <formula>0</formula>
    </cfRule>
    <cfRule type="cellIs" dxfId="128" priority="10734" operator="greaterThan">
      <formula>0</formula>
    </cfRule>
  </conditionalFormatting>
  <conditionalFormatting sqref="BM46">
    <cfRule type="cellIs" dxfId="127" priority="10730" operator="lessThan">
      <formula>0</formula>
    </cfRule>
    <cfRule type="cellIs" dxfId="126" priority="10731" operator="greaterThan">
      <formula>0</formula>
    </cfRule>
  </conditionalFormatting>
  <conditionalFormatting sqref="X46">
    <cfRule type="cellIs" dxfId="125" priority="10727" operator="greaterThan">
      <formula>16</formula>
    </cfRule>
    <cfRule type="cellIs" dxfId="124" priority="10728" operator="between">
      <formula>5</formula>
      <formula>16</formula>
    </cfRule>
    <cfRule type="cellIs" dxfId="123" priority="10729" operator="lessThan">
      <formula>5</formula>
    </cfRule>
  </conditionalFormatting>
  <conditionalFormatting sqref="Y46">
    <cfRule type="cellIs" dxfId="122" priority="10724" operator="greaterThan">
      <formula>16</formula>
    </cfRule>
    <cfRule type="cellIs" dxfId="121" priority="10725" operator="between">
      <formula>5</formula>
      <formula>16</formula>
    </cfRule>
    <cfRule type="cellIs" dxfId="120" priority="10726" operator="lessThan">
      <formula>5</formula>
    </cfRule>
  </conditionalFormatting>
  <conditionalFormatting sqref="Z46">
    <cfRule type="cellIs" dxfId="119" priority="10721" operator="greaterThan">
      <formula>16</formula>
    </cfRule>
    <cfRule type="cellIs" dxfId="118" priority="10722" operator="between">
      <formula>5</formula>
      <formula>16</formula>
    </cfRule>
    <cfRule type="cellIs" dxfId="117" priority="10723" operator="lessThan">
      <formula>5</formula>
    </cfRule>
  </conditionalFormatting>
  <conditionalFormatting sqref="AA46">
    <cfRule type="cellIs" dxfId="116" priority="10718" operator="greaterThan">
      <formula>16</formula>
    </cfRule>
    <cfRule type="cellIs" dxfId="115" priority="10719" operator="between">
      <formula>5</formula>
      <formula>16</formula>
    </cfRule>
    <cfRule type="cellIs" dxfId="114" priority="10720" operator="lessThan">
      <formula>5</formula>
    </cfRule>
  </conditionalFormatting>
  <conditionalFormatting sqref="AF46">
    <cfRule type="colorScale" priority="10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6">
    <cfRule type="colorScale" priority="10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6">
    <cfRule type="colorScale" priority="10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6">
    <cfRule type="colorScale" priority="10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6">
    <cfRule type="colorScale" priority="10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6">
    <cfRule type="colorScale" priority="10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6">
    <cfRule type="colorScale" priority="10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6">
    <cfRule type="colorScale" priority="10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6">
    <cfRule type="colorScale" priority="10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6">
    <cfRule type="colorScale" priority="10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6">
    <cfRule type="colorScale" priority="10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6">
    <cfRule type="colorScale" priority="10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6">
    <cfRule type="colorScale" priority="10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6">
    <cfRule type="colorScale" priority="10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6">
    <cfRule type="colorScale" priority="10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6">
    <cfRule type="colorScale" priority="10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6">
    <cfRule type="colorScale" priority="10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6">
    <cfRule type="colorScale" priority="10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6">
    <cfRule type="colorScale" priority="10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46">
    <cfRule type="cellIs" dxfId="113" priority="10697" operator="lessThan">
      <formula>0</formula>
    </cfRule>
    <cfRule type="cellIs" dxfId="112" priority="10698" operator="greaterThan">
      <formula>0</formula>
    </cfRule>
  </conditionalFormatting>
  <conditionalFormatting sqref="BQ46">
    <cfRule type="cellIs" dxfId="111" priority="10695" operator="lessThan">
      <formula>0</formula>
    </cfRule>
    <cfRule type="cellIs" dxfId="110" priority="10696" operator="greaterThan">
      <formula>0</formula>
    </cfRule>
  </conditionalFormatting>
  <conditionalFormatting sqref="BS46">
    <cfRule type="cellIs" dxfId="109" priority="10693" operator="lessThan">
      <formula>0</formula>
    </cfRule>
    <cfRule type="cellIs" dxfId="108" priority="10694" operator="greaterThan">
      <formula>0</formula>
    </cfRule>
  </conditionalFormatting>
  <conditionalFormatting sqref="BU46">
    <cfRule type="cellIs" dxfId="107" priority="10691" operator="lessThan">
      <formula>0</formula>
    </cfRule>
    <cfRule type="cellIs" dxfId="106" priority="10692" operator="greaterThan">
      <formula>0</formula>
    </cfRule>
  </conditionalFormatting>
  <conditionalFormatting sqref="BX46">
    <cfRule type="cellIs" dxfId="105" priority="10689" operator="lessThan">
      <formula>0</formula>
    </cfRule>
    <cfRule type="cellIs" dxfId="104" priority="10690" operator="greaterThan">
      <formula>0</formula>
    </cfRule>
  </conditionalFormatting>
  <conditionalFormatting sqref="AF46">
    <cfRule type="colorScale" priority="10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6">
    <cfRule type="colorScale" priority="10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46 AF51">
    <cfRule type="colorScale" priority="10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14">
    <cfRule type="colorScale" priority="9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5">
    <cfRule type="colorScale" priority="9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15">
    <cfRule type="colorScale" priority="9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6">
    <cfRule type="colorScale" priority="9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6">
    <cfRule type="colorScale" priority="9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16">
    <cfRule type="colorScale" priority="9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7">
    <cfRule type="colorScale" priority="9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7">
    <cfRule type="colorScale" priority="9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7">
    <cfRule type="colorScale" priority="9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17">
    <cfRule type="colorScale" priority="9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8">
    <cfRule type="colorScale" priority="9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8">
    <cfRule type="colorScale" priority="9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8">
    <cfRule type="colorScale" priority="9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8">
    <cfRule type="colorScale" priority="9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18">
    <cfRule type="colorScale" priority="9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9">
    <cfRule type="colorScale" priority="9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9">
    <cfRule type="colorScale" priority="9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9">
    <cfRule type="colorScale" priority="9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9">
    <cfRule type="colorScale" priority="9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9">
    <cfRule type="colorScale" priority="9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0">
    <cfRule type="colorScale" priority="9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0">
    <cfRule type="colorScale" priority="9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0">
    <cfRule type="colorScale" priority="9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0">
    <cfRule type="colorScale" priority="9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0">
    <cfRule type="colorScale" priority="9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20">
    <cfRule type="colorScale" priority="9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1">
    <cfRule type="colorScale" priority="9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1">
    <cfRule type="colorScale" priority="9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1">
    <cfRule type="colorScale" priority="9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1">
    <cfRule type="colorScale" priority="9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1">
    <cfRule type="colorScale" priority="9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1">
    <cfRule type="colorScale" priority="9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21">
    <cfRule type="colorScale" priority="9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2">
    <cfRule type="colorScale" priority="9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2">
    <cfRule type="colorScale" priority="9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2">
    <cfRule type="colorScale" priority="9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2">
    <cfRule type="colorScale" priority="9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2">
    <cfRule type="colorScale" priority="9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2">
    <cfRule type="colorScale" priority="9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2">
    <cfRule type="colorScale" priority="9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22">
    <cfRule type="colorScale" priority="9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3">
    <cfRule type="colorScale" priority="9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3">
    <cfRule type="colorScale" priority="9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3">
    <cfRule type="colorScale" priority="9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3">
    <cfRule type="colorScale" priority="9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3">
    <cfRule type="colorScale" priority="9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3">
    <cfRule type="colorScale" priority="9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3">
    <cfRule type="colorScale" priority="9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3">
    <cfRule type="colorScale" priority="9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23">
    <cfRule type="colorScale" priority="9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4:AR26">
    <cfRule type="colorScale" priority="9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4:AR26">
    <cfRule type="colorScale" priority="9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4:AR26">
    <cfRule type="colorScale" priority="9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4:AR26">
    <cfRule type="colorScale" priority="9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4:AR26">
    <cfRule type="colorScale" priority="9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4:AR26">
    <cfRule type="colorScale" priority="9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4:AR26">
    <cfRule type="colorScale" priority="9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4:AR26">
    <cfRule type="colorScale" priority="9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4:AR26">
    <cfRule type="colorScale" priority="9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26">
    <cfRule type="colorScale" priority="9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7">
    <cfRule type="colorScale" priority="9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7">
    <cfRule type="colorScale" priority="9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7">
    <cfRule type="colorScale" priority="9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7">
    <cfRule type="colorScale" priority="9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7">
    <cfRule type="colorScale" priority="9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7">
    <cfRule type="colorScale" priority="9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7">
    <cfRule type="colorScale" priority="9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7">
    <cfRule type="colorScale" priority="9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7">
    <cfRule type="colorScale" priority="9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7">
    <cfRule type="colorScale" priority="9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27">
    <cfRule type="colorScale" priority="9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8">
    <cfRule type="colorScale" priority="9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8">
    <cfRule type="colorScale" priority="9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8">
    <cfRule type="colorScale" priority="9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8">
    <cfRule type="colorScale" priority="9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8">
    <cfRule type="colorScale" priority="9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8">
    <cfRule type="colorScale" priority="9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8">
    <cfRule type="colorScale" priority="9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8">
    <cfRule type="colorScale" priority="9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8">
    <cfRule type="colorScale" priority="9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8">
    <cfRule type="colorScale" priority="9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8">
    <cfRule type="colorScale" priority="9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28">
    <cfRule type="colorScale" priority="9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9">
    <cfRule type="colorScale" priority="9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9">
    <cfRule type="colorScale" priority="9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9">
    <cfRule type="colorScale" priority="9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9">
    <cfRule type="colorScale" priority="9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9">
    <cfRule type="colorScale" priority="9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9">
    <cfRule type="colorScale" priority="9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9">
    <cfRule type="colorScale" priority="9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9">
    <cfRule type="colorScale" priority="9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9">
    <cfRule type="colorScale" priority="9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9">
    <cfRule type="colorScale" priority="9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9">
    <cfRule type="colorScale" priority="9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9">
    <cfRule type="colorScale" priority="9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29">
    <cfRule type="colorScale" priority="9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0">
    <cfRule type="colorScale" priority="9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0">
    <cfRule type="colorScale" priority="9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0">
    <cfRule type="colorScale" priority="9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0">
    <cfRule type="colorScale" priority="9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0">
    <cfRule type="colorScale" priority="9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0">
    <cfRule type="colorScale" priority="9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0">
    <cfRule type="colorScale" priority="9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0">
    <cfRule type="colorScale" priority="9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0">
    <cfRule type="colorScale" priority="9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0">
    <cfRule type="colorScale" priority="9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0">
    <cfRule type="colorScale" priority="9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0">
    <cfRule type="colorScale" priority="9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0">
    <cfRule type="colorScale" priority="9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8">
    <cfRule type="colorScale" priority="9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8">
    <cfRule type="colorScale" priority="9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8">
    <cfRule type="colorScale" priority="9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8">
    <cfRule type="colorScale" priority="9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8">
    <cfRule type="colorScale" priority="9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8">
    <cfRule type="colorScale" priority="9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8">
    <cfRule type="colorScale" priority="9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8">
    <cfRule type="colorScale" priority="9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8">
    <cfRule type="colorScale" priority="9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8">
    <cfRule type="colorScale" priority="9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8">
    <cfRule type="colorScale" priority="9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30">
    <cfRule type="colorScale" priority="9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1">
    <cfRule type="colorScale" priority="9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1">
    <cfRule type="colorScale" priority="9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1">
    <cfRule type="colorScale" priority="9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1">
    <cfRule type="colorScale" priority="9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1">
    <cfRule type="colorScale" priority="9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1">
    <cfRule type="colorScale" priority="9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1">
    <cfRule type="colorScale" priority="9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1">
    <cfRule type="colorScale" priority="9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1">
    <cfRule type="colorScale" priority="9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1">
    <cfRule type="colorScale" priority="9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1">
    <cfRule type="colorScale" priority="9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1">
    <cfRule type="colorScale" priority="9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1">
    <cfRule type="colorScale" priority="9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1">
    <cfRule type="colorScale" priority="9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3:AR34">
    <cfRule type="colorScale" priority="9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3:AR34">
    <cfRule type="colorScale" priority="9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3:AR34">
    <cfRule type="colorScale" priority="9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3:AR34">
    <cfRule type="colorScale" priority="9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3:AR34">
    <cfRule type="colorScale" priority="9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3:AR34">
    <cfRule type="colorScale" priority="9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3:AR34">
    <cfRule type="colorScale" priority="9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3:AR34">
    <cfRule type="colorScale" priority="9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3:AR34">
    <cfRule type="colorScale" priority="9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3:AR34">
    <cfRule type="colorScale" priority="9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3:AR34">
    <cfRule type="colorScale" priority="9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3:AR34">
    <cfRule type="colorScale" priority="9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3:AR34">
    <cfRule type="colorScale" priority="9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3:AR34">
    <cfRule type="colorScale" priority="9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31 AR33:AR34">
    <cfRule type="colorScale" priority="9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5">
    <cfRule type="colorScale" priority="9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5">
    <cfRule type="colorScale" priority="9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5">
    <cfRule type="colorScale" priority="9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5">
    <cfRule type="colorScale" priority="9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5">
    <cfRule type="colorScale" priority="9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5">
    <cfRule type="colorScale" priority="9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5">
    <cfRule type="colorScale" priority="9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5">
    <cfRule type="colorScale" priority="9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5">
    <cfRule type="colorScale" priority="9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5">
    <cfRule type="colorScale" priority="9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5">
    <cfRule type="colorScale" priority="9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5">
    <cfRule type="colorScale" priority="9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5">
    <cfRule type="colorScale" priority="9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5">
    <cfRule type="colorScale" priority="9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5">
    <cfRule type="colorScale" priority="9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31 AR33:AR35">
    <cfRule type="colorScale" priority="9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6">
    <cfRule type="colorScale" priority="9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6">
    <cfRule type="colorScale" priority="9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6">
    <cfRule type="colorScale" priority="9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6">
    <cfRule type="colorScale" priority="9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6">
    <cfRule type="colorScale" priority="9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6">
    <cfRule type="colorScale" priority="9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6">
    <cfRule type="colorScale" priority="9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6">
    <cfRule type="colorScale" priority="9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6">
    <cfRule type="colorScale" priority="9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6">
    <cfRule type="colorScale" priority="9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6">
    <cfRule type="colorScale" priority="9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6">
    <cfRule type="colorScale" priority="9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6">
    <cfRule type="colorScale" priority="9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6">
    <cfRule type="colorScale" priority="9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6">
    <cfRule type="colorScale" priority="9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6">
    <cfRule type="colorScale" priority="9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1 AR37">
    <cfRule type="colorScale" priority="9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7">
    <cfRule type="colorScale" priority="9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7">
    <cfRule type="colorScale" priority="9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7">
    <cfRule type="colorScale" priority="9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7">
    <cfRule type="colorScale" priority="9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7">
    <cfRule type="colorScale" priority="9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7">
    <cfRule type="colorScale" priority="9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7">
    <cfRule type="colorScale" priority="9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7">
    <cfRule type="colorScale" priority="9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7">
    <cfRule type="colorScale" priority="9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7">
    <cfRule type="colorScale" priority="9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7">
    <cfRule type="colorScale" priority="9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7">
    <cfRule type="colorScale" priority="9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7">
    <cfRule type="colorScale" priority="9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7">
    <cfRule type="colorScale" priority="9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7">
    <cfRule type="colorScale" priority="9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8">
    <cfRule type="colorScale" priority="9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8">
    <cfRule type="colorScale" priority="9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8">
    <cfRule type="colorScale" priority="9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8">
    <cfRule type="colorScale" priority="9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8">
    <cfRule type="colorScale" priority="9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8">
    <cfRule type="colorScale" priority="9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8">
    <cfRule type="colorScale" priority="9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8">
    <cfRule type="colorScale" priority="9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8">
    <cfRule type="colorScale" priority="9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8">
    <cfRule type="colorScale" priority="9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8">
    <cfRule type="colorScale" priority="9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8">
    <cfRule type="colorScale" priority="9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8">
    <cfRule type="colorScale" priority="9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8">
    <cfRule type="colorScale" priority="9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8">
    <cfRule type="colorScale" priority="9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8">
    <cfRule type="colorScale" priority="9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9">
    <cfRule type="colorScale" priority="9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9">
    <cfRule type="colorScale" priority="9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9">
    <cfRule type="colorScale" priority="9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9">
    <cfRule type="colorScale" priority="9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9">
    <cfRule type="colorScale" priority="9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9">
    <cfRule type="colorScale" priority="9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9">
    <cfRule type="colorScale" priority="9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9">
    <cfRule type="colorScale" priority="9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9">
    <cfRule type="colorScale" priority="9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9">
    <cfRule type="colorScale" priority="9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9">
    <cfRule type="colorScale" priority="9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9">
    <cfRule type="colorScale" priority="9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9">
    <cfRule type="colorScale" priority="9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9">
    <cfRule type="colorScale" priority="9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9">
    <cfRule type="colorScale" priority="9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9">
    <cfRule type="colorScale" priority="9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31 AR51 AR33:AR39">
    <cfRule type="colorScale" priority="9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0">
    <cfRule type="colorScale" priority="9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0">
    <cfRule type="colorScale" priority="9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0">
    <cfRule type="colorScale" priority="9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0">
    <cfRule type="colorScale" priority="9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0">
    <cfRule type="colorScale" priority="9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0">
    <cfRule type="colorScale" priority="9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0">
    <cfRule type="colorScale" priority="9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0">
    <cfRule type="colorScale" priority="9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0">
    <cfRule type="colorScale" priority="9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0">
    <cfRule type="colorScale" priority="9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0">
    <cfRule type="colorScale" priority="9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0">
    <cfRule type="colorScale" priority="9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0">
    <cfRule type="colorScale" priority="9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0">
    <cfRule type="colorScale" priority="9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0">
    <cfRule type="colorScale" priority="9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0">
    <cfRule type="colorScale" priority="9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0">
    <cfRule type="colorScale" priority="9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1">
    <cfRule type="colorScale" priority="9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1">
    <cfRule type="colorScale" priority="9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1">
    <cfRule type="colorScale" priority="9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1">
    <cfRule type="colorScale" priority="9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1">
    <cfRule type="colorScale" priority="9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1">
    <cfRule type="colorScale" priority="9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1">
    <cfRule type="colorScale" priority="9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1">
    <cfRule type="colorScale" priority="9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1">
    <cfRule type="colorScale" priority="9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1">
    <cfRule type="colorScale" priority="9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1">
    <cfRule type="colorScale" priority="9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1">
    <cfRule type="colorScale" priority="9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1">
    <cfRule type="colorScale" priority="9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1">
    <cfRule type="colorScale" priority="9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1">
    <cfRule type="colorScale" priority="9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1">
    <cfRule type="colorScale" priority="9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1">
    <cfRule type="colorScale" priority="9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31 AR51 AR43 AR33:AR41">
    <cfRule type="colorScale" priority="9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3">
    <cfRule type="colorScale" priority="9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3">
    <cfRule type="colorScale" priority="9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3">
    <cfRule type="colorScale" priority="9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3">
    <cfRule type="colorScale" priority="9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3">
    <cfRule type="colorScale" priority="9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3">
    <cfRule type="colorScale" priority="9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3">
    <cfRule type="colorScale" priority="9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3">
    <cfRule type="colorScale" priority="9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3">
    <cfRule type="colorScale" priority="9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3">
    <cfRule type="colorScale" priority="9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3">
    <cfRule type="colorScale" priority="9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3">
    <cfRule type="colorScale" priority="9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3">
    <cfRule type="colorScale" priority="9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3">
    <cfRule type="colorScale" priority="9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3">
    <cfRule type="colorScale" priority="9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3">
    <cfRule type="colorScale" priority="9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3">
    <cfRule type="colorScale" priority="9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4">
    <cfRule type="colorScale" priority="9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4">
    <cfRule type="colorScale" priority="9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4">
    <cfRule type="colorScale" priority="9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4">
    <cfRule type="colorScale" priority="9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4">
    <cfRule type="colorScale" priority="9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4">
    <cfRule type="colorScale" priority="9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4">
    <cfRule type="colorScale" priority="9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4">
    <cfRule type="colorScale" priority="9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4">
    <cfRule type="colorScale" priority="9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4">
    <cfRule type="colorScale" priority="9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4">
    <cfRule type="colorScale" priority="9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4">
    <cfRule type="colorScale" priority="9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4">
    <cfRule type="colorScale" priority="9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4">
    <cfRule type="colorScale" priority="9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4">
    <cfRule type="colorScale" priority="9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4">
    <cfRule type="colorScale" priority="9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4">
    <cfRule type="colorScale" priority="9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4">
    <cfRule type="colorScale" priority="9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31 AR43:AR44 AR33:AR41 AR51">
    <cfRule type="colorScale" priority="9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2">
    <cfRule type="colorScale" priority="9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2">
    <cfRule type="colorScale" priority="9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2">
    <cfRule type="colorScale" priority="9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2">
    <cfRule type="colorScale" priority="9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2">
    <cfRule type="colorScale" priority="9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2">
    <cfRule type="colorScale" priority="9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2">
    <cfRule type="colorScale" priority="9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2">
    <cfRule type="colorScale" priority="9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2">
    <cfRule type="colorScale" priority="9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2">
    <cfRule type="colorScale" priority="9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2">
    <cfRule type="colorScale" priority="9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2">
    <cfRule type="colorScale" priority="9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2">
    <cfRule type="colorScale" priority="9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2">
    <cfRule type="colorScale" priority="9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2">
    <cfRule type="colorScale" priority="9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2">
    <cfRule type="colorScale" priority="9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2">
    <cfRule type="colorScale" priority="9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2">
    <cfRule type="colorScale" priority="9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2">
    <cfRule type="colorScale" priority="9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31 AR33:AR44 AR51">
    <cfRule type="colorScale" priority="9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2">
    <cfRule type="colorScale" priority="9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2">
    <cfRule type="colorScale" priority="9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2">
    <cfRule type="colorScale" priority="9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2">
    <cfRule type="colorScale" priority="9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2">
    <cfRule type="colorScale" priority="9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2">
    <cfRule type="colorScale" priority="9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2">
    <cfRule type="colorScale" priority="9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2">
    <cfRule type="colorScale" priority="9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2">
    <cfRule type="colorScale" priority="9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2">
    <cfRule type="colorScale" priority="9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2">
    <cfRule type="colorScale" priority="9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2">
    <cfRule type="colorScale" priority="9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2">
    <cfRule type="colorScale" priority="9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2">
    <cfRule type="colorScale" priority="9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2">
    <cfRule type="colorScale" priority="9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2">
    <cfRule type="colorScale" priority="9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2">
    <cfRule type="colorScale" priority="9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2">
    <cfRule type="colorScale" priority="9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2">
    <cfRule type="colorScale" priority="9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2">
    <cfRule type="colorScale" priority="9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5">
    <cfRule type="colorScale" priority="9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5">
    <cfRule type="colorScale" priority="9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5">
    <cfRule type="colorScale" priority="9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5">
    <cfRule type="colorScale" priority="9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5">
    <cfRule type="colorScale" priority="9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5">
    <cfRule type="colorScale" priority="9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5">
    <cfRule type="colorScale" priority="9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5">
    <cfRule type="colorScale" priority="9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5">
    <cfRule type="colorScale" priority="9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5">
    <cfRule type="colorScale" priority="9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5">
    <cfRule type="colorScale" priority="9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5">
    <cfRule type="colorScale" priority="9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5">
    <cfRule type="colorScale" priority="9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5">
    <cfRule type="colorScale" priority="9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5">
    <cfRule type="colorScale" priority="9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5">
    <cfRule type="colorScale" priority="9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5">
    <cfRule type="colorScale" priority="9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5">
    <cfRule type="colorScale" priority="9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5">
    <cfRule type="colorScale" priority="9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5">
    <cfRule type="colorScale" priority="9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45 AR51">
    <cfRule type="colorScale" priority="9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6">
    <cfRule type="colorScale" priority="9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6">
    <cfRule type="colorScale" priority="9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6">
    <cfRule type="colorScale" priority="9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6">
    <cfRule type="colorScale" priority="9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6">
    <cfRule type="colorScale" priority="9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6">
    <cfRule type="colorScale" priority="9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6">
    <cfRule type="colorScale" priority="9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6">
    <cfRule type="colorScale" priority="9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6">
    <cfRule type="colorScale" priority="9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6">
    <cfRule type="colorScale" priority="9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6">
    <cfRule type="colorScale" priority="9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6">
    <cfRule type="colorScale" priority="9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6">
    <cfRule type="colorScale" priority="9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6">
    <cfRule type="colorScale" priority="9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6">
    <cfRule type="colorScale" priority="9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6">
    <cfRule type="colorScale" priority="9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6">
    <cfRule type="colorScale" priority="9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6">
    <cfRule type="colorScale" priority="9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6">
    <cfRule type="colorScale" priority="9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6">
    <cfRule type="colorScale" priority="9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6">
    <cfRule type="colorScale" priority="9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46 AR51">
    <cfRule type="colorScale" priority="9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47">
    <cfRule type="cellIs" dxfId="103" priority="7528" operator="lessThan">
      <formula>0</formula>
    </cfRule>
    <cfRule type="cellIs" dxfId="102" priority="7529" operator="greaterThan">
      <formula>0</formula>
    </cfRule>
  </conditionalFormatting>
  <conditionalFormatting sqref="BM47">
    <cfRule type="cellIs" dxfId="101" priority="7526" operator="lessThan">
      <formula>0</formula>
    </cfRule>
    <cfRule type="cellIs" dxfId="100" priority="7527" operator="greaterThan">
      <formula>0</formula>
    </cfRule>
  </conditionalFormatting>
  <conditionalFormatting sqref="X47">
    <cfRule type="cellIs" dxfId="99" priority="7523" operator="greaterThan">
      <formula>16</formula>
    </cfRule>
    <cfRule type="cellIs" dxfId="98" priority="7524" operator="between">
      <formula>5</formula>
      <formula>16</formula>
    </cfRule>
    <cfRule type="cellIs" dxfId="97" priority="7525" operator="lessThan">
      <formula>5</formula>
    </cfRule>
  </conditionalFormatting>
  <conditionalFormatting sqref="Y47">
    <cfRule type="cellIs" dxfId="96" priority="7520" operator="greaterThan">
      <formula>16</formula>
    </cfRule>
    <cfRule type="cellIs" dxfId="95" priority="7521" operator="between">
      <formula>5</formula>
      <formula>16</formula>
    </cfRule>
    <cfRule type="cellIs" dxfId="94" priority="7522" operator="lessThan">
      <formula>5</formula>
    </cfRule>
  </conditionalFormatting>
  <conditionalFormatting sqref="Z47">
    <cfRule type="cellIs" dxfId="93" priority="7517" operator="greaterThan">
      <formula>16</formula>
    </cfRule>
    <cfRule type="cellIs" dxfId="92" priority="7518" operator="between">
      <formula>5</formula>
      <formula>16</formula>
    </cfRule>
    <cfRule type="cellIs" dxfId="91" priority="7519" operator="lessThan">
      <formula>5</formula>
    </cfRule>
  </conditionalFormatting>
  <conditionalFormatting sqref="AA47">
    <cfRule type="cellIs" dxfId="90" priority="7514" operator="greaterThan">
      <formula>16</formula>
    </cfRule>
    <cfRule type="cellIs" dxfId="89" priority="7515" operator="between">
      <formula>5</formula>
      <formula>16</formula>
    </cfRule>
    <cfRule type="cellIs" dxfId="88" priority="7516" operator="lessThan">
      <formula>5</formula>
    </cfRule>
  </conditionalFormatting>
  <conditionalFormatting sqref="AF47">
    <cfRule type="colorScale" priority="7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7">
    <cfRule type="colorScale" priority="7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7">
    <cfRule type="colorScale" priority="7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7">
    <cfRule type="colorScale" priority="7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7">
    <cfRule type="colorScale" priority="7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7">
    <cfRule type="colorScale" priority="7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7">
    <cfRule type="colorScale" priority="7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7">
    <cfRule type="colorScale" priority="7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7">
    <cfRule type="colorScale" priority="7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7">
    <cfRule type="colorScale" priority="7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7">
    <cfRule type="colorScale" priority="7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7">
    <cfRule type="colorScale" priority="7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7">
    <cfRule type="colorScale" priority="7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7">
    <cfRule type="colorScale" priority="7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7">
    <cfRule type="colorScale" priority="7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7">
    <cfRule type="colorScale" priority="7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7">
    <cfRule type="colorScale" priority="7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7">
    <cfRule type="colorScale" priority="7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7">
    <cfRule type="colorScale" priority="7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47">
    <cfRule type="cellIs" dxfId="87" priority="7493" operator="lessThan">
      <formula>0</formula>
    </cfRule>
    <cfRule type="cellIs" dxfId="86" priority="7494" operator="greaterThan">
      <formula>0</formula>
    </cfRule>
  </conditionalFormatting>
  <conditionalFormatting sqref="BQ47">
    <cfRule type="cellIs" dxfId="85" priority="7491" operator="lessThan">
      <formula>0</formula>
    </cfRule>
    <cfRule type="cellIs" dxfId="84" priority="7492" operator="greaterThan">
      <formula>0</formula>
    </cfRule>
  </conditionalFormatting>
  <conditionalFormatting sqref="BS47">
    <cfRule type="cellIs" dxfId="83" priority="7489" operator="lessThan">
      <formula>0</formula>
    </cfRule>
    <cfRule type="cellIs" dxfId="82" priority="7490" operator="greaterThan">
      <formula>0</formula>
    </cfRule>
  </conditionalFormatting>
  <conditionalFormatting sqref="BU47">
    <cfRule type="cellIs" dxfId="81" priority="7487" operator="lessThan">
      <formula>0</formula>
    </cfRule>
    <cfRule type="cellIs" dxfId="80" priority="7488" operator="greaterThan">
      <formula>0</formula>
    </cfRule>
  </conditionalFormatting>
  <conditionalFormatting sqref="BX47">
    <cfRule type="cellIs" dxfId="79" priority="7485" operator="lessThan">
      <formula>0</formula>
    </cfRule>
    <cfRule type="cellIs" dxfId="78" priority="7486" operator="greaterThan">
      <formula>0</formula>
    </cfRule>
  </conditionalFormatting>
  <conditionalFormatting sqref="AF47">
    <cfRule type="colorScale" priority="7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7">
    <cfRule type="colorScale" priority="7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7">
    <cfRule type="colorScale" priority="7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7">
    <cfRule type="colorScale" priority="7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7">
    <cfRule type="colorScale" priority="7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7">
    <cfRule type="colorScale" priority="7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7">
    <cfRule type="colorScale" priority="7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7">
    <cfRule type="colorScale" priority="7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7">
    <cfRule type="colorScale" priority="7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7">
    <cfRule type="colorScale" priority="7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7">
    <cfRule type="colorScale" priority="7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7">
    <cfRule type="colorScale" priority="7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7">
    <cfRule type="colorScale" priority="7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7">
    <cfRule type="colorScale" priority="7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7">
    <cfRule type="colorScale" priority="7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7">
    <cfRule type="colorScale" priority="7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7">
    <cfRule type="colorScale" priority="7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7">
    <cfRule type="colorScale" priority="7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7">
    <cfRule type="colorScale" priority="7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7">
    <cfRule type="colorScale" priority="7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7">
    <cfRule type="colorScale" priority="7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7">
    <cfRule type="colorScale" priority="7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7">
    <cfRule type="colorScale" priority="7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7">
    <cfRule type="colorScale" priority="7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7">
    <cfRule type="colorScale" priority="7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47 AF51">
    <cfRule type="colorScale" priority="7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47 AR51">
    <cfRule type="colorScale" priority="7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48">
    <cfRule type="cellIs" dxfId="77" priority="5667" operator="lessThan">
      <formula>0</formula>
    </cfRule>
    <cfRule type="cellIs" dxfId="76" priority="5668" operator="greaterThan">
      <formula>0</formula>
    </cfRule>
  </conditionalFormatting>
  <conditionalFormatting sqref="BM48">
    <cfRule type="cellIs" dxfId="75" priority="5665" operator="lessThan">
      <formula>0</formula>
    </cfRule>
    <cfRule type="cellIs" dxfId="74" priority="5666" operator="greaterThan">
      <formula>0</formula>
    </cfRule>
  </conditionalFormatting>
  <conditionalFormatting sqref="X48">
    <cfRule type="cellIs" dxfId="73" priority="5662" operator="greaterThan">
      <formula>16</formula>
    </cfRule>
    <cfRule type="cellIs" dxfId="72" priority="5663" operator="between">
      <formula>5</formula>
      <formula>16</formula>
    </cfRule>
    <cfRule type="cellIs" dxfId="71" priority="5664" operator="lessThan">
      <formula>5</formula>
    </cfRule>
  </conditionalFormatting>
  <conditionalFormatting sqref="Y48">
    <cfRule type="cellIs" dxfId="70" priority="5659" operator="greaterThan">
      <formula>16</formula>
    </cfRule>
    <cfRule type="cellIs" dxfId="69" priority="5660" operator="between">
      <formula>5</formula>
      <formula>16</formula>
    </cfRule>
    <cfRule type="cellIs" dxfId="68" priority="5661" operator="lessThan">
      <formula>5</formula>
    </cfRule>
  </conditionalFormatting>
  <conditionalFormatting sqref="Z48">
    <cfRule type="cellIs" dxfId="67" priority="5656" operator="greaterThan">
      <formula>16</formula>
    </cfRule>
    <cfRule type="cellIs" dxfId="66" priority="5657" operator="between">
      <formula>5</formula>
      <formula>16</formula>
    </cfRule>
    <cfRule type="cellIs" dxfId="65" priority="5658" operator="lessThan">
      <formula>5</formula>
    </cfRule>
  </conditionalFormatting>
  <conditionalFormatting sqref="AA48">
    <cfRule type="cellIs" dxfId="64" priority="5653" operator="greaterThan">
      <formula>16</formula>
    </cfRule>
    <cfRule type="cellIs" dxfId="63" priority="5654" operator="between">
      <formula>5</formula>
      <formula>16</formula>
    </cfRule>
    <cfRule type="cellIs" dxfId="62" priority="5655" operator="lessThan">
      <formula>5</formula>
    </cfRule>
  </conditionalFormatting>
  <conditionalFormatting sqref="AF48">
    <cfRule type="colorScale" priority="5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">
    <cfRule type="colorScale" priority="5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">
    <cfRule type="colorScale" priority="5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">
    <cfRule type="colorScale" priority="5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">
    <cfRule type="colorScale" priority="5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">
    <cfRule type="colorScale" priority="5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">
    <cfRule type="colorScale" priority="5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">
    <cfRule type="colorScale" priority="5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">
    <cfRule type="colorScale" priority="5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">
    <cfRule type="colorScale" priority="5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">
    <cfRule type="colorScale" priority="5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">
    <cfRule type="colorScale" priority="5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">
    <cfRule type="colorScale" priority="5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">
    <cfRule type="colorScale" priority="5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">
    <cfRule type="colorScale" priority="5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">
    <cfRule type="colorScale" priority="5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">
    <cfRule type="colorScale" priority="5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">
    <cfRule type="colorScale" priority="5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">
    <cfRule type="colorScale" priority="5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48">
    <cfRule type="cellIs" dxfId="61" priority="5632" operator="lessThan">
      <formula>0</formula>
    </cfRule>
    <cfRule type="cellIs" dxfId="60" priority="5633" operator="greaterThan">
      <formula>0</formula>
    </cfRule>
  </conditionalFormatting>
  <conditionalFormatting sqref="BQ48">
    <cfRule type="cellIs" dxfId="59" priority="5630" operator="lessThan">
      <formula>0</formula>
    </cfRule>
    <cfRule type="cellIs" dxfId="58" priority="5631" operator="greaterThan">
      <formula>0</formula>
    </cfRule>
  </conditionalFormatting>
  <conditionalFormatting sqref="BS48">
    <cfRule type="cellIs" dxfId="57" priority="5628" operator="lessThan">
      <formula>0</formula>
    </cfRule>
    <cfRule type="cellIs" dxfId="56" priority="5629" operator="greaterThan">
      <formula>0</formula>
    </cfRule>
  </conditionalFormatting>
  <conditionalFormatting sqref="BU48">
    <cfRule type="cellIs" dxfId="55" priority="5626" operator="lessThan">
      <formula>0</formula>
    </cfRule>
    <cfRule type="cellIs" dxfId="54" priority="5627" operator="greaterThan">
      <formula>0</formula>
    </cfRule>
  </conditionalFormatting>
  <conditionalFormatting sqref="BX48">
    <cfRule type="cellIs" dxfId="53" priority="5624" operator="lessThan">
      <formula>0</formula>
    </cfRule>
    <cfRule type="cellIs" dxfId="52" priority="5625" operator="greaterThan">
      <formula>0</formula>
    </cfRule>
  </conditionalFormatting>
  <conditionalFormatting sqref="AF48">
    <cfRule type="colorScale" priority="5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">
    <cfRule type="colorScale" priority="5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">
    <cfRule type="colorScale" priority="5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8">
    <cfRule type="colorScale" priority="5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8">
    <cfRule type="colorScale" priority="5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8">
    <cfRule type="colorScale" priority="5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8">
    <cfRule type="colorScale" priority="5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8">
    <cfRule type="colorScale" priority="5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8">
    <cfRule type="colorScale" priority="5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8">
    <cfRule type="colorScale" priority="5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8">
    <cfRule type="colorScale" priority="5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8">
    <cfRule type="colorScale" priority="5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8">
    <cfRule type="colorScale" priority="5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8">
    <cfRule type="colorScale" priority="5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8">
    <cfRule type="colorScale" priority="5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8">
    <cfRule type="colorScale" priority="5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8">
    <cfRule type="colorScale" priority="5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8">
    <cfRule type="colorScale" priority="5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8">
    <cfRule type="colorScale" priority="5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8">
    <cfRule type="colorScale" priority="5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8">
    <cfRule type="colorScale" priority="5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8">
    <cfRule type="colorScale" priority="5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8">
    <cfRule type="colorScale" priority="5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8">
    <cfRule type="colorScale" priority="5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8">
    <cfRule type="colorScale" priority="5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">
    <cfRule type="colorScale" priority="5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8">
    <cfRule type="colorScale" priority="5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48 AR51">
    <cfRule type="colorScale" priority="5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48 AF51">
    <cfRule type="colorScale" priority="3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14">
    <cfRule type="colorScale" priority="3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">
    <cfRule type="colorScale" priority="3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15">
    <cfRule type="colorScale" priority="3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">
    <cfRule type="colorScale" priority="3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">
    <cfRule type="colorScale" priority="3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16">
    <cfRule type="colorScale" priority="3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">
    <cfRule type="colorScale" priority="3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">
    <cfRule type="colorScale" priority="3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">
    <cfRule type="colorScale" priority="3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17">
    <cfRule type="colorScale" priority="3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">
    <cfRule type="colorScale" priority="3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">
    <cfRule type="colorScale" priority="3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">
    <cfRule type="colorScale" priority="3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">
    <cfRule type="colorScale" priority="3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18">
    <cfRule type="colorScale" priority="3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">
    <cfRule type="colorScale" priority="3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">
    <cfRule type="colorScale" priority="3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">
    <cfRule type="colorScale" priority="3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">
    <cfRule type="colorScale" priority="3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">
    <cfRule type="colorScale" priority="3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">
    <cfRule type="colorScale" priority="3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">
    <cfRule type="colorScale" priority="3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">
    <cfRule type="colorScale" priority="3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">
    <cfRule type="colorScale" priority="3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">
    <cfRule type="colorScale" priority="3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20">
    <cfRule type="colorScale" priority="3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">
    <cfRule type="colorScale" priority="3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">
    <cfRule type="colorScale" priority="3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">
    <cfRule type="colorScale" priority="3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">
    <cfRule type="colorScale" priority="3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">
    <cfRule type="colorScale" priority="3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">
    <cfRule type="colorScale" priority="3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21">
    <cfRule type="colorScale" priority="3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">
    <cfRule type="colorScale" priority="3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">
    <cfRule type="colorScale" priority="3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">
    <cfRule type="colorScale" priority="3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">
    <cfRule type="colorScale" priority="3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">
    <cfRule type="colorScale" priority="3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">
    <cfRule type="colorScale" priority="3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">
    <cfRule type="colorScale" priority="3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22">
    <cfRule type="colorScale" priority="3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">
    <cfRule type="colorScale" priority="3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">
    <cfRule type="colorScale" priority="3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">
    <cfRule type="colorScale" priority="3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">
    <cfRule type="colorScale" priority="3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">
    <cfRule type="colorScale" priority="3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">
    <cfRule type="colorScale" priority="3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">
    <cfRule type="colorScale" priority="3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">
    <cfRule type="colorScale" priority="3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23">
    <cfRule type="colorScale" priority="3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:AG26">
    <cfRule type="colorScale" priority="3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:AG26">
    <cfRule type="colorScale" priority="3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:AG26">
    <cfRule type="colorScale" priority="3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:AG26">
    <cfRule type="colorScale" priority="3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:AG26">
    <cfRule type="colorScale" priority="3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:AG26">
    <cfRule type="colorScale" priority="3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:AG26">
    <cfRule type="colorScale" priority="3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:AG26">
    <cfRule type="colorScale" priority="3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:AG26">
    <cfRule type="colorScale" priority="3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26">
    <cfRule type="colorScale" priority="3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">
    <cfRule type="colorScale" priority="3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">
    <cfRule type="colorScale" priority="3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">
    <cfRule type="colorScale" priority="3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">
    <cfRule type="colorScale" priority="3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">
    <cfRule type="colorScale" priority="3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">
    <cfRule type="colorScale" priority="3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">
    <cfRule type="colorScale" priority="3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">
    <cfRule type="colorScale" priority="3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">
    <cfRule type="colorScale" priority="3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">
    <cfRule type="colorScale" priority="3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27">
    <cfRule type="colorScale" priority="3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">
    <cfRule type="colorScale" priority="3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">
    <cfRule type="colorScale" priority="3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">
    <cfRule type="colorScale" priority="3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">
    <cfRule type="colorScale" priority="3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">
    <cfRule type="colorScale" priority="3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">
    <cfRule type="colorScale" priority="3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">
    <cfRule type="colorScale" priority="3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">
    <cfRule type="colorScale" priority="3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">
    <cfRule type="colorScale" priority="3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">
    <cfRule type="colorScale" priority="3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">
    <cfRule type="colorScale" priority="3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28">
    <cfRule type="colorScale" priority="3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">
    <cfRule type="colorScale" priority="3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">
    <cfRule type="colorScale" priority="3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">
    <cfRule type="colorScale" priority="3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">
    <cfRule type="colorScale" priority="3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">
    <cfRule type="colorScale" priority="3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">
    <cfRule type="colorScale" priority="3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">
    <cfRule type="colorScale" priority="3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">
    <cfRule type="colorScale" priority="3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">
    <cfRule type="colorScale" priority="3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">
    <cfRule type="colorScale" priority="3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">
    <cfRule type="colorScale" priority="3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">
    <cfRule type="colorScale" priority="3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29">
    <cfRule type="colorScale" priority="3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">
    <cfRule type="colorScale" priority="3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">
    <cfRule type="colorScale" priority="3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">
    <cfRule type="colorScale" priority="3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">
    <cfRule type="colorScale" priority="3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">
    <cfRule type="colorScale" priority="3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">
    <cfRule type="colorScale" priority="3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">
    <cfRule type="colorScale" priority="3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">
    <cfRule type="colorScale" priority="3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">
    <cfRule type="colorScale" priority="3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">
    <cfRule type="colorScale" priority="3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">
    <cfRule type="colorScale" priority="3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">
    <cfRule type="colorScale" priority="3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">
    <cfRule type="colorScale" priority="3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">
    <cfRule type="colorScale" priority="3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">
    <cfRule type="colorScale" priority="3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">
    <cfRule type="colorScale" priority="3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">
    <cfRule type="colorScale" priority="3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">
    <cfRule type="colorScale" priority="3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">
    <cfRule type="colorScale" priority="3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">
    <cfRule type="colorScale" priority="3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">
    <cfRule type="colorScale" priority="3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">
    <cfRule type="colorScale" priority="3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">
    <cfRule type="colorScale" priority="3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">
    <cfRule type="colorScale" priority="3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30">
    <cfRule type="colorScale" priority="3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">
    <cfRule type="colorScale" priority="3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">
    <cfRule type="colorScale" priority="3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">
    <cfRule type="colorScale" priority="3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">
    <cfRule type="colorScale" priority="3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">
    <cfRule type="colorScale" priority="3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">
    <cfRule type="colorScale" priority="3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">
    <cfRule type="colorScale" priority="3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">
    <cfRule type="colorScale" priority="3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">
    <cfRule type="colorScale" priority="3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">
    <cfRule type="colorScale" priority="3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">
    <cfRule type="colorScale" priority="3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">
    <cfRule type="colorScale" priority="3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">
    <cfRule type="colorScale" priority="3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">
    <cfRule type="colorScale" priority="3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:AG34">
    <cfRule type="colorScale" priority="3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:AG34">
    <cfRule type="colorScale" priority="3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:AG34">
    <cfRule type="colorScale" priority="3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:AG34">
    <cfRule type="colorScale" priority="3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:AG34">
    <cfRule type="colorScale" priority="3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:AG34">
    <cfRule type="colorScale" priority="3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:AG34">
    <cfRule type="colorScale" priority="3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:AG34">
    <cfRule type="colorScale" priority="3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:AG34">
    <cfRule type="colorScale" priority="3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:AG34">
    <cfRule type="colorScale" priority="3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:AG34">
    <cfRule type="colorScale" priority="3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:AG34">
    <cfRule type="colorScale" priority="3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:AG34">
    <cfRule type="colorScale" priority="3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:AG34">
    <cfRule type="colorScale" priority="3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31 AG33:AG34">
    <cfRule type="colorScale" priority="3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5">
    <cfRule type="colorScale" priority="3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5">
    <cfRule type="colorScale" priority="3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5">
    <cfRule type="colorScale" priority="3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5">
    <cfRule type="colorScale" priority="3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5">
    <cfRule type="colorScale" priority="3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5">
    <cfRule type="colorScale" priority="3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5">
    <cfRule type="colorScale" priority="3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5">
    <cfRule type="colorScale" priority="3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5">
    <cfRule type="colorScale" priority="3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5">
    <cfRule type="colorScale" priority="3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5">
    <cfRule type="colorScale" priority="3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5">
    <cfRule type="colorScale" priority="3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5">
    <cfRule type="colorScale" priority="3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5">
    <cfRule type="colorScale" priority="3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5">
    <cfRule type="colorScale" priority="3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31 AG33:AG35">
    <cfRule type="colorScale" priority="3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6">
    <cfRule type="colorScale" priority="3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6">
    <cfRule type="colorScale" priority="3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6">
    <cfRule type="colorScale" priority="3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6">
    <cfRule type="colorScale" priority="3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6">
    <cfRule type="colorScale" priority="3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6">
    <cfRule type="colorScale" priority="3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6">
    <cfRule type="colorScale" priority="3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6">
    <cfRule type="colorScale" priority="3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6">
    <cfRule type="colorScale" priority="3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6">
    <cfRule type="colorScale" priority="3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6">
    <cfRule type="colorScale" priority="3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6">
    <cfRule type="colorScale" priority="3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6">
    <cfRule type="colorScale" priority="3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6">
    <cfRule type="colorScale" priority="3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6">
    <cfRule type="colorScale" priority="3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6">
    <cfRule type="colorScale" priority="3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1 AG37">
    <cfRule type="colorScale" priority="3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7">
    <cfRule type="colorScale" priority="3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7">
    <cfRule type="colorScale" priority="3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7">
    <cfRule type="colorScale" priority="3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7">
    <cfRule type="colorScale" priority="3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7">
    <cfRule type="colorScale" priority="3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7">
    <cfRule type="colorScale" priority="3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7">
    <cfRule type="colorScale" priority="3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7">
    <cfRule type="colorScale" priority="3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7">
    <cfRule type="colorScale" priority="3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7">
    <cfRule type="colorScale" priority="3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7">
    <cfRule type="colorScale" priority="3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7">
    <cfRule type="colorScale" priority="3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7">
    <cfRule type="colorScale" priority="3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7">
    <cfRule type="colorScale" priority="3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7">
    <cfRule type="colorScale" priority="3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8">
    <cfRule type="colorScale" priority="3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8">
    <cfRule type="colorScale" priority="3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8">
    <cfRule type="colorScale" priority="3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8">
    <cfRule type="colorScale" priority="3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8">
    <cfRule type="colorScale" priority="3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8">
    <cfRule type="colorScale" priority="3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8">
    <cfRule type="colorScale" priority="3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8">
    <cfRule type="colorScale" priority="3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8">
    <cfRule type="colorScale" priority="3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8">
    <cfRule type="colorScale" priority="3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8">
    <cfRule type="colorScale" priority="3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8">
    <cfRule type="colorScale" priority="3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8">
    <cfRule type="colorScale" priority="3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8">
    <cfRule type="colorScale" priority="3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8">
    <cfRule type="colorScale" priority="3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8">
    <cfRule type="colorScale" priority="3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9">
    <cfRule type="colorScale" priority="3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9">
    <cfRule type="colorScale" priority="3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9">
    <cfRule type="colorScale" priority="3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9">
    <cfRule type="colorScale" priority="3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9">
    <cfRule type="colorScale" priority="3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9">
    <cfRule type="colorScale" priority="3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9">
    <cfRule type="colorScale" priority="3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9">
    <cfRule type="colorScale" priority="3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9">
    <cfRule type="colorScale" priority="3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9">
    <cfRule type="colorScale" priority="3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9">
    <cfRule type="colorScale" priority="3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9">
    <cfRule type="colorScale" priority="3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9">
    <cfRule type="colorScale" priority="3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9">
    <cfRule type="colorScale" priority="3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9">
    <cfRule type="colorScale" priority="3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9">
    <cfRule type="colorScale" priority="3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31 AG51 AG33:AG39">
    <cfRule type="colorScale" priority="3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0">
    <cfRule type="colorScale" priority="3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0">
    <cfRule type="colorScale" priority="3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0">
    <cfRule type="colorScale" priority="3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0">
    <cfRule type="colorScale" priority="3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0">
    <cfRule type="colorScale" priority="3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0">
    <cfRule type="colorScale" priority="3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0">
    <cfRule type="colorScale" priority="3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0">
    <cfRule type="colorScale" priority="3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0">
    <cfRule type="colorScale" priority="3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0">
    <cfRule type="colorScale" priority="3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0">
    <cfRule type="colorScale" priority="3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0">
    <cfRule type="colorScale" priority="3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0">
    <cfRule type="colorScale" priority="3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0">
    <cfRule type="colorScale" priority="3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0">
    <cfRule type="colorScale" priority="3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0">
    <cfRule type="colorScale" priority="3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0">
    <cfRule type="colorScale" priority="3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1">
    <cfRule type="colorScale" priority="3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1">
    <cfRule type="colorScale" priority="3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1">
    <cfRule type="colorScale" priority="3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1">
    <cfRule type="colorScale" priority="3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1">
    <cfRule type="colorScale" priority="3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1">
    <cfRule type="colorScale" priority="3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1">
    <cfRule type="colorScale" priority="3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1">
    <cfRule type="colorScale" priority="3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1">
    <cfRule type="colorScale" priority="3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1">
    <cfRule type="colorScale" priority="3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1">
    <cfRule type="colorScale" priority="3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1">
    <cfRule type="colorScale" priority="3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1">
    <cfRule type="colorScale" priority="3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1">
    <cfRule type="colorScale" priority="3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1">
    <cfRule type="colorScale" priority="3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1">
    <cfRule type="colorScale" priority="3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1">
    <cfRule type="colorScale" priority="3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31 AG51 AG43 AG33:AG41">
    <cfRule type="colorScale" priority="3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3">
    <cfRule type="colorScale" priority="3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3">
    <cfRule type="colorScale" priority="3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3">
    <cfRule type="colorScale" priority="3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3">
    <cfRule type="colorScale" priority="3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3">
    <cfRule type="colorScale" priority="3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3">
    <cfRule type="colorScale" priority="3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3">
    <cfRule type="colorScale" priority="3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3">
    <cfRule type="colorScale" priority="3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3">
    <cfRule type="colorScale" priority="3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3">
    <cfRule type="colorScale" priority="3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3">
    <cfRule type="colorScale" priority="3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3">
    <cfRule type="colorScale" priority="3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3">
    <cfRule type="colorScale" priority="3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3">
    <cfRule type="colorScale" priority="3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3">
    <cfRule type="colorScale" priority="3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3">
    <cfRule type="colorScale" priority="3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3">
    <cfRule type="colorScale" priority="3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4">
    <cfRule type="colorScale" priority="3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4">
    <cfRule type="colorScale" priority="3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4">
    <cfRule type="colorScale" priority="3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4">
    <cfRule type="colorScale" priority="3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4">
    <cfRule type="colorScale" priority="3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4">
    <cfRule type="colorScale" priority="3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4">
    <cfRule type="colorScale" priority="3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4">
    <cfRule type="colorScale" priority="3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4">
    <cfRule type="colorScale" priority="3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4">
    <cfRule type="colorScale" priority="3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4">
    <cfRule type="colorScale" priority="3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4">
    <cfRule type="colorScale" priority="3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4">
    <cfRule type="colorScale" priority="3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4">
    <cfRule type="colorScale" priority="3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4">
    <cfRule type="colorScale" priority="3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4">
    <cfRule type="colorScale" priority="3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4">
    <cfRule type="colorScale" priority="3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4">
    <cfRule type="colorScale" priority="3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31 AG43:AG44 AG33:AG41 AG51">
    <cfRule type="colorScale" priority="3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2">
    <cfRule type="colorScale" priority="3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2">
    <cfRule type="colorScale" priority="3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2">
    <cfRule type="colorScale" priority="3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2">
    <cfRule type="colorScale" priority="3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2">
    <cfRule type="colorScale" priority="3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2">
    <cfRule type="colorScale" priority="3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2">
    <cfRule type="colorScale" priority="3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2">
    <cfRule type="colorScale" priority="3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2">
    <cfRule type="colorScale" priority="3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2">
    <cfRule type="colorScale" priority="3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2">
    <cfRule type="colorScale" priority="3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2">
    <cfRule type="colorScale" priority="3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2">
    <cfRule type="colorScale" priority="3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2">
    <cfRule type="colorScale" priority="3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2">
    <cfRule type="colorScale" priority="3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2">
    <cfRule type="colorScale" priority="3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2">
    <cfRule type="colorScale" priority="3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2">
    <cfRule type="colorScale" priority="3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2">
    <cfRule type="colorScale" priority="3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31 AG33:AG44 AG51">
    <cfRule type="colorScale" priority="3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">
    <cfRule type="colorScale" priority="3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">
    <cfRule type="colorScale" priority="3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">
    <cfRule type="colorScale" priority="3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">
    <cfRule type="colorScale" priority="3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">
    <cfRule type="colorScale" priority="3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">
    <cfRule type="colorScale" priority="3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">
    <cfRule type="colorScale" priority="3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">
    <cfRule type="colorScale" priority="3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">
    <cfRule type="colorScale" priority="3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">
    <cfRule type="colorScale" priority="3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">
    <cfRule type="colorScale" priority="3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">
    <cfRule type="colorScale" priority="3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">
    <cfRule type="colorScale" priority="3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">
    <cfRule type="colorScale" priority="3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">
    <cfRule type="colorScale" priority="3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">
    <cfRule type="colorScale" priority="3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">
    <cfRule type="colorScale" priority="3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">
    <cfRule type="colorScale" priority="3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">
    <cfRule type="colorScale" priority="3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">
    <cfRule type="colorScale" priority="3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">
    <cfRule type="colorScale" priority="3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">
    <cfRule type="colorScale" priority="3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">
    <cfRule type="colorScale" priority="3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">
    <cfRule type="colorScale" priority="3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">
    <cfRule type="colorScale" priority="3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">
    <cfRule type="colorScale" priority="3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">
    <cfRule type="colorScale" priority="3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">
    <cfRule type="colorScale" priority="3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">
    <cfRule type="colorScale" priority="3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">
    <cfRule type="colorScale" priority="3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">
    <cfRule type="colorScale" priority="3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">
    <cfRule type="colorScale" priority="3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">
    <cfRule type="colorScale" priority="3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">
    <cfRule type="colorScale" priority="3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">
    <cfRule type="colorScale" priority="3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">
    <cfRule type="colorScale" priority="3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">
    <cfRule type="colorScale" priority="3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">
    <cfRule type="colorScale" priority="3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">
    <cfRule type="colorScale" priority="3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">
    <cfRule type="colorScale" priority="3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45 AG51">
    <cfRule type="colorScale" priority="3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">
    <cfRule type="colorScale" priority="3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">
    <cfRule type="colorScale" priority="3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">
    <cfRule type="colorScale" priority="3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">
    <cfRule type="colorScale" priority="3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">
    <cfRule type="colorScale" priority="3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">
    <cfRule type="colorScale" priority="3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">
    <cfRule type="colorScale" priority="3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">
    <cfRule type="colorScale" priority="3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">
    <cfRule type="colorScale" priority="3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">
    <cfRule type="colorScale" priority="3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">
    <cfRule type="colorScale" priority="3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">
    <cfRule type="colorScale" priority="3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">
    <cfRule type="colorScale" priority="3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">
    <cfRule type="colorScale" priority="3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">
    <cfRule type="colorScale" priority="3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">
    <cfRule type="colorScale" priority="3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">
    <cfRule type="colorScale" priority="3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">
    <cfRule type="colorScale" priority="3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">
    <cfRule type="colorScale" priority="3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">
    <cfRule type="colorScale" priority="3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">
    <cfRule type="colorScale" priority="3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46 AG51">
    <cfRule type="colorScale" priority="3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7">
    <cfRule type="colorScale" priority="3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7">
    <cfRule type="colorScale" priority="3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7">
    <cfRule type="colorScale" priority="3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7">
    <cfRule type="colorScale" priority="3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7">
    <cfRule type="colorScale" priority="3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7">
    <cfRule type="colorScale" priority="3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7">
    <cfRule type="colorScale" priority="3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7">
    <cfRule type="colorScale" priority="3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7">
    <cfRule type="colorScale" priority="3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7">
    <cfRule type="colorScale" priority="3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7">
    <cfRule type="colorScale" priority="3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7">
    <cfRule type="colorScale" priority="3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7">
    <cfRule type="colorScale" priority="3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7">
    <cfRule type="colorScale" priority="3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7">
    <cfRule type="colorScale" priority="3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7">
    <cfRule type="colorScale" priority="3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7">
    <cfRule type="colorScale" priority="3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7">
    <cfRule type="colorScale" priority="3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7">
    <cfRule type="colorScale" priority="3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7">
    <cfRule type="colorScale" priority="3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7">
    <cfRule type="colorScale" priority="3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7">
    <cfRule type="colorScale" priority="3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47 AG51">
    <cfRule type="colorScale" priority="3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8">
    <cfRule type="colorScale" priority="3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8">
    <cfRule type="colorScale" priority="3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8">
    <cfRule type="colorScale" priority="3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8">
    <cfRule type="colorScale" priority="3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8">
    <cfRule type="colorScale" priority="3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8">
    <cfRule type="colorScale" priority="3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8">
    <cfRule type="colorScale" priority="3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8">
    <cfRule type="colorScale" priority="3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8">
    <cfRule type="colorScale" priority="3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8">
    <cfRule type="colorScale" priority="3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8">
    <cfRule type="colorScale" priority="3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8">
    <cfRule type="colorScale" priority="3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8">
    <cfRule type="colorScale" priority="3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8">
    <cfRule type="colorScale" priority="3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8">
    <cfRule type="colorScale" priority="3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8">
    <cfRule type="colorScale" priority="3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8">
    <cfRule type="colorScale" priority="3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8">
    <cfRule type="colorScale" priority="3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8">
    <cfRule type="colorScale" priority="3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8">
    <cfRule type="colorScale" priority="3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8">
    <cfRule type="colorScale" priority="3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8">
    <cfRule type="colorScale" priority="3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8">
    <cfRule type="colorScale" priority="3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48 AG51">
    <cfRule type="colorScale" priority="3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4">
    <cfRule type="colorScale" priority="3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5">
    <cfRule type="colorScale" priority="3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5">
    <cfRule type="colorScale" priority="3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6">
    <cfRule type="colorScale" priority="3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6">
    <cfRule type="colorScale" priority="3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6">
    <cfRule type="colorScale" priority="3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7">
    <cfRule type="colorScale" priority="3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7">
    <cfRule type="colorScale" priority="3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7">
    <cfRule type="colorScale" priority="3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7">
    <cfRule type="colorScale" priority="3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8">
    <cfRule type="colorScale" priority="3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8">
    <cfRule type="colorScale" priority="3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8">
    <cfRule type="colorScale" priority="3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8">
    <cfRule type="colorScale" priority="3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8">
    <cfRule type="colorScale" priority="3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9">
    <cfRule type="colorScale" priority="3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9">
    <cfRule type="colorScale" priority="3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9">
    <cfRule type="colorScale" priority="3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9">
    <cfRule type="colorScale" priority="3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9">
    <cfRule type="colorScale" priority="3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0">
    <cfRule type="colorScale" priority="3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0">
    <cfRule type="colorScale" priority="3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0">
    <cfRule type="colorScale" priority="3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0">
    <cfRule type="colorScale" priority="3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0">
    <cfRule type="colorScale" priority="3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20">
    <cfRule type="colorScale" priority="3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1">
    <cfRule type="colorScale" priority="3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1">
    <cfRule type="colorScale" priority="3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1">
    <cfRule type="colorScale" priority="3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1">
    <cfRule type="colorScale" priority="3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1">
    <cfRule type="colorScale" priority="3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1">
    <cfRule type="colorScale" priority="3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21">
    <cfRule type="colorScale" priority="3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2">
    <cfRule type="colorScale" priority="3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2">
    <cfRule type="colorScale" priority="3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2">
    <cfRule type="colorScale" priority="3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2">
    <cfRule type="colorScale" priority="3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2">
    <cfRule type="colorScale" priority="3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2">
    <cfRule type="colorScale" priority="3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2">
    <cfRule type="colorScale" priority="3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22">
    <cfRule type="colorScale" priority="3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3">
    <cfRule type="colorScale" priority="3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3">
    <cfRule type="colorScale" priority="3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3">
    <cfRule type="colorScale" priority="3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3">
    <cfRule type="colorScale" priority="3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3">
    <cfRule type="colorScale" priority="3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3">
    <cfRule type="colorScale" priority="3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3">
    <cfRule type="colorScale" priority="3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3">
    <cfRule type="colorScale" priority="3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23">
    <cfRule type="colorScale" priority="3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4:AH26">
    <cfRule type="colorScale" priority="3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4:AH26">
    <cfRule type="colorScale" priority="3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4:AH26">
    <cfRule type="colorScale" priority="3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4:AH26">
    <cfRule type="colorScale" priority="3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4:AH26">
    <cfRule type="colorScale" priority="3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4:AH26">
    <cfRule type="colorScale" priority="3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4:AH26">
    <cfRule type="colorScale" priority="3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4:AH26">
    <cfRule type="colorScale" priority="3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4:AH26">
    <cfRule type="colorScale" priority="3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26">
    <cfRule type="colorScale" priority="3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7">
    <cfRule type="colorScale" priority="3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7">
    <cfRule type="colorScale" priority="3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7">
    <cfRule type="colorScale" priority="3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7">
    <cfRule type="colorScale" priority="3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7">
    <cfRule type="colorScale" priority="3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7">
    <cfRule type="colorScale" priority="3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7">
    <cfRule type="colorScale" priority="3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7">
    <cfRule type="colorScale" priority="3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7">
    <cfRule type="colorScale" priority="3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7">
    <cfRule type="colorScale" priority="3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27">
    <cfRule type="colorScale" priority="3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8">
    <cfRule type="colorScale" priority="3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8">
    <cfRule type="colorScale" priority="3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8">
    <cfRule type="colorScale" priority="3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8">
    <cfRule type="colorScale" priority="3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8">
    <cfRule type="colorScale" priority="3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8">
    <cfRule type="colorScale" priority="3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8">
    <cfRule type="colorScale" priority="3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8">
    <cfRule type="colorScale" priority="3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8">
    <cfRule type="colorScale" priority="3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8">
    <cfRule type="colorScale" priority="3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8">
    <cfRule type="colorScale" priority="3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28">
    <cfRule type="colorScale" priority="3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9">
    <cfRule type="colorScale" priority="3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9">
    <cfRule type="colorScale" priority="3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9">
    <cfRule type="colorScale" priority="3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9">
    <cfRule type="colorScale" priority="3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9">
    <cfRule type="colorScale" priority="3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9">
    <cfRule type="colorScale" priority="3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9">
    <cfRule type="colorScale" priority="3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9">
    <cfRule type="colorScale" priority="3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9">
    <cfRule type="colorScale" priority="3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9">
    <cfRule type="colorScale" priority="3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9">
    <cfRule type="colorScale" priority="3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9">
    <cfRule type="colorScale" priority="3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29">
    <cfRule type="colorScale" priority="3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">
    <cfRule type="colorScale" priority="3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">
    <cfRule type="colorScale" priority="3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">
    <cfRule type="colorScale" priority="3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">
    <cfRule type="colorScale" priority="3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">
    <cfRule type="colorScale" priority="3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">
    <cfRule type="colorScale" priority="3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">
    <cfRule type="colorScale" priority="3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">
    <cfRule type="colorScale" priority="3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">
    <cfRule type="colorScale" priority="3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">
    <cfRule type="colorScale" priority="3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">
    <cfRule type="colorScale" priority="3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">
    <cfRule type="colorScale" priority="3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">
    <cfRule type="colorScale" priority="3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8">
    <cfRule type="colorScale" priority="3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8">
    <cfRule type="colorScale" priority="3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8">
    <cfRule type="colorScale" priority="3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8">
    <cfRule type="colorScale" priority="3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8">
    <cfRule type="colorScale" priority="3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8">
    <cfRule type="colorScale" priority="3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8">
    <cfRule type="colorScale" priority="3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8">
    <cfRule type="colorScale" priority="3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8">
    <cfRule type="colorScale" priority="3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8">
    <cfRule type="colorScale" priority="3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8">
    <cfRule type="colorScale" priority="3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30">
    <cfRule type="colorScale" priority="3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1">
    <cfRule type="colorScale" priority="3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1">
    <cfRule type="colorScale" priority="3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1">
    <cfRule type="colorScale" priority="3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1">
    <cfRule type="colorScale" priority="3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1">
    <cfRule type="colorScale" priority="3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1">
    <cfRule type="colorScale" priority="3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1">
    <cfRule type="colorScale" priority="3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1">
    <cfRule type="colorScale" priority="3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1">
    <cfRule type="colorScale" priority="3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1">
    <cfRule type="colorScale" priority="3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1">
    <cfRule type="colorScale" priority="3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1">
    <cfRule type="colorScale" priority="3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1">
    <cfRule type="colorScale" priority="3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1">
    <cfRule type="colorScale" priority="3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3:AH34">
    <cfRule type="colorScale" priority="3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3:AH34">
    <cfRule type="colorScale" priority="3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3:AH34">
    <cfRule type="colorScale" priority="3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3:AH34">
    <cfRule type="colorScale" priority="3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3:AH34">
    <cfRule type="colorScale" priority="3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3:AH34">
    <cfRule type="colorScale" priority="3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3:AH34">
    <cfRule type="colorScale" priority="3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3:AH34">
    <cfRule type="colorScale" priority="3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3:AH34">
    <cfRule type="colorScale" priority="3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3:AH34">
    <cfRule type="colorScale" priority="3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3:AH34">
    <cfRule type="colorScale" priority="3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3:AH34">
    <cfRule type="colorScale" priority="3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3:AH34">
    <cfRule type="colorScale" priority="3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3:AH34">
    <cfRule type="colorScale" priority="3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31 AH33:AH34">
    <cfRule type="colorScale" priority="3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5">
    <cfRule type="colorScale" priority="3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5">
    <cfRule type="colorScale" priority="3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5">
    <cfRule type="colorScale" priority="3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5">
    <cfRule type="colorScale" priority="3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5">
    <cfRule type="colorScale" priority="3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5">
    <cfRule type="colorScale" priority="3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5">
    <cfRule type="colorScale" priority="3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5">
    <cfRule type="colorScale" priority="3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5">
    <cfRule type="colorScale" priority="3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5">
    <cfRule type="colorScale" priority="3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5">
    <cfRule type="colorScale" priority="3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5">
    <cfRule type="colorScale" priority="3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5">
    <cfRule type="colorScale" priority="3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5">
    <cfRule type="colorScale" priority="3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5">
    <cfRule type="colorScale" priority="3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31 AH33:AH35">
    <cfRule type="colorScale" priority="3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6">
    <cfRule type="colorScale" priority="3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6">
    <cfRule type="colorScale" priority="3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6">
    <cfRule type="colorScale" priority="3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6">
    <cfRule type="colorScale" priority="3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6">
    <cfRule type="colorScale" priority="3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6">
    <cfRule type="colorScale" priority="3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6">
    <cfRule type="colorScale" priority="3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6">
    <cfRule type="colorScale" priority="3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6">
    <cfRule type="colorScale" priority="3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6">
    <cfRule type="colorScale" priority="3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6">
    <cfRule type="colorScale" priority="3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6">
    <cfRule type="colorScale" priority="3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6">
    <cfRule type="colorScale" priority="3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6">
    <cfRule type="colorScale" priority="3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6">
    <cfRule type="colorScale" priority="3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6">
    <cfRule type="colorScale" priority="3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1 AH37">
    <cfRule type="colorScale" priority="3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7">
    <cfRule type="colorScale" priority="3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7">
    <cfRule type="colorScale" priority="3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7">
    <cfRule type="colorScale" priority="3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7">
    <cfRule type="colorScale" priority="3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7">
    <cfRule type="colorScale" priority="3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7">
    <cfRule type="colorScale" priority="3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7">
    <cfRule type="colorScale" priority="3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7">
    <cfRule type="colorScale" priority="3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7">
    <cfRule type="colorScale" priority="3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7">
    <cfRule type="colorScale" priority="3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7">
    <cfRule type="colorScale" priority="3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7">
    <cfRule type="colorScale" priority="3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7">
    <cfRule type="colorScale" priority="3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7">
    <cfRule type="colorScale" priority="3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7">
    <cfRule type="colorScale" priority="3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8">
    <cfRule type="colorScale" priority="3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8">
    <cfRule type="colorScale" priority="3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8">
    <cfRule type="colorScale" priority="3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8">
    <cfRule type="colorScale" priority="3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8">
    <cfRule type="colorScale" priority="3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8">
    <cfRule type="colorScale" priority="3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8">
    <cfRule type="colorScale" priority="3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8">
    <cfRule type="colorScale" priority="3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8">
    <cfRule type="colorScale" priority="3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8">
    <cfRule type="colorScale" priority="3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8">
    <cfRule type="colorScale" priority="3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8">
    <cfRule type="colorScale" priority="3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8">
    <cfRule type="colorScale" priority="3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8">
    <cfRule type="colorScale" priority="3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8">
    <cfRule type="colorScale" priority="3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8">
    <cfRule type="colorScale" priority="3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9">
    <cfRule type="colorScale" priority="3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9">
    <cfRule type="colorScale" priority="3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9">
    <cfRule type="colorScale" priority="3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9">
    <cfRule type="colorScale" priority="3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9">
    <cfRule type="colorScale" priority="3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9">
    <cfRule type="colorScale" priority="3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9">
    <cfRule type="colorScale" priority="3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9">
    <cfRule type="colorScale" priority="3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9">
    <cfRule type="colorScale" priority="3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9">
    <cfRule type="colorScale" priority="3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9">
    <cfRule type="colorScale" priority="3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9">
    <cfRule type="colorScale" priority="3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9">
    <cfRule type="colorScale" priority="3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9">
    <cfRule type="colorScale" priority="3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9">
    <cfRule type="colorScale" priority="3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9">
    <cfRule type="colorScale" priority="3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31 AH51 AH33:AH39">
    <cfRule type="colorScale" priority="3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0">
    <cfRule type="colorScale" priority="3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0">
    <cfRule type="colorScale" priority="3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0">
    <cfRule type="colorScale" priority="3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0">
    <cfRule type="colorScale" priority="3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0">
    <cfRule type="colorScale" priority="3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0">
    <cfRule type="colorScale" priority="3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0">
    <cfRule type="colorScale" priority="3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0">
    <cfRule type="colorScale" priority="3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0">
    <cfRule type="colorScale" priority="3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0">
    <cfRule type="colorScale" priority="3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0">
    <cfRule type="colorScale" priority="3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0">
    <cfRule type="colorScale" priority="3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0">
    <cfRule type="colorScale" priority="3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0">
    <cfRule type="colorScale" priority="3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0">
    <cfRule type="colorScale" priority="3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0">
    <cfRule type="colorScale" priority="3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0">
    <cfRule type="colorScale" priority="3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1">
    <cfRule type="colorScale" priority="3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1">
    <cfRule type="colorScale" priority="3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1">
    <cfRule type="colorScale" priority="3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1">
    <cfRule type="colorScale" priority="3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1">
    <cfRule type="colorScale" priority="3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1">
    <cfRule type="colorScale" priority="3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1">
    <cfRule type="colorScale" priority="3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1">
    <cfRule type="colorScale" priority="3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1">
    <cfRule type="colorScale" priority="3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1">
    <cfRule type="colorScale" priority="3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1">
    <cfRule type="colorScale" priority="3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1">
    <cfRule type="colorScale" priority="3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1">
    <cfRule type="colorScale" priority="3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1">
    <cfRule type="colorScale" priority="3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1">
    <cfRule type="colorScale" priority="3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1">
    <cfRule type="colorScale" priority="3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1">
    <cfRule type="colorScale" priority="3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31 AH51 AH43 AH33:AH41">
    <cfRule type="colorScale" priority="2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3">
    <cfRule type="colorScale" priority="3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3">
    <cfRule type="colorScale" priority="3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3">
    <cfRule type="colorScale" priority="3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3">
    <cfRule type="colorScale" priority="3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3">
    <cfRule type="colorScale" priority="3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3">
    <cfRule type="colorScale" priority="3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3">
    <cfRule type="colorScale" priority="3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3">
    <cfRule type="colorScale" priority="3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3">
    <cfRule type="colorScale" priority="3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3">
    <cfRule type="colorScale" priority="2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3">
    <cfRule type="colorScale" priority="2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3">
    <cfRule type="colorScale" priority="2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3">
    <cfRule type="colorScale" priority="2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3">
    <cfRule type="colorScale" priority="2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3">
    <cfRule type="colorScale" priority="2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3">
    <cfRule type="colorScale" priority="2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3">
    <cfRule type="colorScale" priority="2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4">
    <cfRule type="colorScale" priority="2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4">
    <cfRule type="colorScale" priority="2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4">
    <cfRule type="colorScale" priority="2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4">
    <cfRule type="colorScale" priority="2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4">
    <cfRule type="colorScale" priority="2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4">
    <cfRule type="colorScale" priority="2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4">
    <cfRule type="colorScale" priority="2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4">
    <cfRule type="colorScale" priority="2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4">
    <cfRule type="colorScale" priority="2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4">
    <cfRule type="colorScale" priority="2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4">
    <cfRule type="colorScale" priority="2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4">
    <cfRule type="colorScale" priority="2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4">
    <cfRule type="colorScale" priority="2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4">
    <cfRule type="colorScale" priority="2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4">
    <cfRule type="colorScale" priority="2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4">
    <cfRule type="colorScale" priority="2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4">
    <cfRule type="colorScale" priority="2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4">
    <cfRule type="colorScale" priority="2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31 AH43:AH44 AH33:AH41 AH51">
    <cfRule type="colorScale" priority="2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2">
    <cfRule type="colorScale" priority="2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2">
    <cfRule type="colorScale" priority="2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2">
    <cfRule type="colorScale" priority="2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2">
    <cfRule type="colorScale" priority="2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2">
    <cfRule type="colorScale" priority="2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2">
    <cfRule type="colorScale" priority="2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2">
    <cfRule type="colorScale" priority="2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2">
    <cfRule type="colorScale" priority="2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2">
    <cfRule type="colorScale" priority="2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2">
    <cfRule type="colorScale" priority="2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2">
    <cfRule type="colorScale" priority="2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2">
    <cfRule type="colorScale" priority="2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2">
    <cfRule type="colorScale" priority="2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2">
    <cfRule type="colorScale" priority="2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2">
    <cfRule type="colorScale" priority="2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2">
    <cfRule type="colorScale" priority="2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2">
    <cfRule type="colorScale" priority="2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2">
    <cfRule type="colorScale" priority="2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2">
    <cfRule type="colorScale" priority="2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31 AH33:AH44 AH51">
    <cfRule type="colorScale" priority="2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">
    <cfRule type="colorScale" priority="2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">
    <cfRule type="colorScale" priority="2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">
    <cfRule type="colorScale" priority="2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">
    <cfRule type="colorScale" priority="2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">
    <cfRule type="colorScale" priority="2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">
    <cfRule type="colorScale" priority="2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">
    <cfRule type="colorScale" priority="2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">
    <cfRule type="colorScale" priority="2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">
    <cfRule type="colorScale" priority="2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">
    <cfRule type="colorScale" priority="2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">
    <cfRule type="colorScale" priority="2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">
    <cfRule type="colorScale" priority="2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">
    <cfRule type="colorScale" priority="2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">
    <cfRule type="colorScale" priority="2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">
    <cfRule type="colorScale" priority="2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">
    <cfRule type="colorScale" priority="2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">
    <cfRule type="colorScale" priority="2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">
    <cfRule type="colorScale" priority="2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">
    <cfRule type="colorScale" priority="2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">
    <cfRule type="colorScale" priority="2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5">
    <cfRule type="colorScale" priority="2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5">
    <cfRule type="colorScale" priority="2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5">
    <cfRule type="colorScale" priority="2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5">
    <cfRule type="colorScale" priority="2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5">
    <cfRule type="colorScale" priority="2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5">
    <cfRule type="colorScale" priority="2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5">
    <cfRule type="colorScale" priority="2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5">
    <cfRule type="colorScale" priority="2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5">
    <cfRule type="colorScale" priority="2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5">
    <cfRule type="colorScale" priority="2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5">
    <cfRule type="colorScale" priority="2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5">
    <cfRule type="colorScale" priority="2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5">
    <cfRule type="colorScale" priority="2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5">
    <cfRule type="colorScale" priority="2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5">
    <cfRule type="colorScale" priority="2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5">
    <cfRule type="colorScale" priority="2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5">
    <cfRule type="colorScale" priority="2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5">
    <cfRule type="colorScale" priority="2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5">
    <cfRule type="colorScale" priority="2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5">
    <cfRule type="colorScale" priority="2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45 AH51">
    <cfRule type="colorScale" priority="2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6">
    <cfRule type="colorScale" priority="2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6">
    <cfRule type="colorScale" priority="2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6">
    <cfRule type="colorScale" priority="2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6">
    <cfRule type="colorScale" priority="2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6">
    <cfRule type="colorScale" priority="2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6">
    <cfRule type="colorScale" priority="2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6">
    <cfRule type="colorScale" priority="2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6">
    <cfRule type="colorScale" priority="2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6">
    <cfRule type="colorScale" priority="2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6">
    <cfRule type="colorScale" priority="2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6">
    <cfRule type="colorScale" priority="2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6">
    <cfRule type="colorScale" priority="2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6">
    <cfRule type="colorScale" priority="2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6">
    <cfRule type="colorScale" priority="2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6">
    <cfRule type="colorScale" priority="2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6">
    <cfRule type="colorScale" priority="2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6">
    <cfRule type="colorScale" priority="2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6">
    <cfRule type="colorScale" priority="2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6">
    <cfRule type="colorScale" priority="2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6">
    <cfRule type="colorScale" priority="2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6">
    <cfRule type="colorScale" priority="2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46 AH51">
    <cfRule type="colorScale" priority="2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7">
    <cfRule type="colorScale" priority="2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7">
    <cfRule type="colorScale" priority="2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7">
    <cfRule type="colorScale" priority="2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7">
    <cfRule type="colorScale" priority="2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7">
    <cfRule type="colorScale" priority="2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7">
    <cfRule type="colorScale" priority="2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7">
    <cfRule type="colorScale" priority="2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7">
    <cfRule type="colorScale" priority="2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7">
    <cfRule type="colorScale" priority="2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7">
    <cfRule type="colorScale" priority="2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7">
    <cfRule type="colorScale" priority="2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7">
    <cfRule type="colorScale" priority="2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7">
    <cfRule type="colorScale" priority="2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7">
    <cfRule type="colorScale" priority="2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7">
    <cfRule type="colorScale" priority="2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7">
    <cfRule type="colorScale" priority="2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7">
    <cfRule type="colorScale" priority="2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7">
    <cfRule type="colorScale" priority="2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7">
    <cfRule type="colorScale" priority="2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7">
    <cfRule type="colorScale" priority="2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7">
    <cfRule type="colorScale" priority="2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7">
    <cfRule type="colorScale" priority="2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47 AH51">
    <cfRule type="colorScale" priority="2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8">
    <cfRule type="colorScale" priority="2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8">
    <cfRule type="colorScale" priority="2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8">
    <cfRule type="colorScale" priority="2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8">
    <cfRule type="colorScale" priority="2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8">
    <cfRule type="colorScale" priority="2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8">
    <cfRule type="colorScale" priority="2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8">
    <cfRule type="colorScale" priority="2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8">
    <cfRule type="colorScale" priority="2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8">
    <cfRule type="colorScale" priority="2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8">
    <cfRule type="colorScale" priority="2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8">
    <cfRule type="colorScale" priority="2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8">
    <cfRule type="colorScale" priority="2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8">
    <cfRule type="colorScale" priority="2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8">
    <cfRule type="colorScale" priority="2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8">
    <cfRule type="colorScale" priority="2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8">
    <cfRule type="colorScale" priority="2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8">
    <cfRule type="colorScale" priority="2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8">
    <cfRule type="colorScale" priority="2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8">
    <cfRule type="colorScale" priority="2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8">
    <cfRule type="colorScale" priority="2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8">
    <cfRule type="colorScale" priority="2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8">
    <cfRule type="colorScale" priority="2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8">
    <cfRule type="colorScale" priority="2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48 AH51">
    <cfRule type="colorScale" priority="2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14">
    <cfRule type="colorScale" priority="2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">
    <cfRule type="colorScale" priority="2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15">
    <cfRule type="colorScale" priority="2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6">
    <cfRule type="colorScale" priority="2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6">
    <cfRule type="colorScale" priority="2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16">
    <cfRule type="colorScale" priority="2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">
    <cfRule type="colorScale" priority="2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">
    <cfRule type="colorScale" priority="2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">
    <cfRule type="colorScale" priority="2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17">
    <cfRule type="colorScale" priority="2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8">
    <cfRule type="colorScale" priority="2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8">
    <cfRule type="colorScale" priority="2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8">
    <cfRule type="colorScale" priority="2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8">
    <cfRule type="colorScale" priority="2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18">
    <cfRule type="colorScale" priority="2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9">
    <cfRule type="colorScale" priority="2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9">
    <cfRule type="colorScale" priority="2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9">
    <cfRule type="colorScale" priority="2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9">
    <cfRule type="colorScale" priority="2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9">
    <cfRule type="colorScale" priority="2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0">
    <cfRule type="colorScale" priority="2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0">
    <cfRule type="colorScale" priority="2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0">
    <cfRule type="colorScale" priority="2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0">
    <cfRule type="colorScale" priority="2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0">
    <cfRule type="colorScale" priority="2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20">
    <cfRule type="colorScale" priority="2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1">
    <cfRule type="colorScale" priority="2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1">
    <cfRule type="colorScale" priority="2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1">
    <cfRule type="colorScale" priority="2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1">
    <cfRule type="colorScale" priority="2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1">
    <cfRule type="colorScale" priority="2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1">
    <cfRule type="colorScale" priority="2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21">
    <cfRule type="colorScale" priority="2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2">
    <cfRule type="colorScale" priority="2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2">
    <cfRule type="colorScale" priority="2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2">
    <cfRule type="colorScale" priority="2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2">
    <cfRule type="colorScale" priority="2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2">
    <cfRule type="colorScale" priority="2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2">
    <cfRule type="colorScale" priority="2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2">
    <cfRule type="colorScale" priority="2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22">
    <cfRule type="colorScale" priority="2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3">
    <cfRule type="colorScale" priority="2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3">
    <cfRule type="colorScale" priority="2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3">
    <cfRule type="colorScale" priority="2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3">
    <cfRule type="colorScale" priority="2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3">
    <cfRule type="colorScale" priority="2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3">
    <cfRule type="colorScale" priority="2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3">
    <cfRule type="colorScale" priority="2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3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23">
    <cfRule type="colorScale" priority="2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4:AI26">
    <cfRule type="colorScale" priority="2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4:AI26">
    <cfRule type="colorScale" priority="2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4:AI26">
    <cfRule type="colorScale" priority="2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4:AI26">
    <cfRule type="colorScale" priority="2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4:AI26">
    <cfRule type="colorScale" priority="2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4:AI26">
    <cfRule type="colorScale" priority="2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4:AI26">
    <cfRule type="colorScale" priority="2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4:AI26">
    <cfRule type="colorScale" priority="2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4:AI26">
    <cfRule type="colorScale" priority="2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26">
    <cfRule type="colorScale" priority="2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7">
    <cfRule type="colorScale" priority="2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7">
    <cfRule type="colorScale" priority="2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7">
    <cfRule type="colorScale" priority="2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7">
    <cfRule type="colorScale" priority="2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7">
    <cfRule type="colorScale" priority="2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7">
    <cfRule type="colorScale" priority="2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7">
    <cfRule type="colorScale" priority="2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7">
    <cfRule type="colorScale" priority="2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7">
    <cfRule type="colorScale" priority="2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7">
    <cfRule type="colorScale" priority="2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27">
    <cfRule type="colorScale" priority="2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">
    <cfRule type="colorScale" priority="2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">
    <cfRule type="colorScale" priority="2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">
    <cfRule type="colorScale" priority="2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">
    <cfRule type="colorScale" priority="2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">
    <cfRule type="colorScale" priority="2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">
    <cfRule type="colorScale" priority="2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">
    <cfRule type="colorScale" priority="2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">
    <cfRule type="colorScale" priority="2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">
    <cfRule type="colorScale" priority="2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">
    <cfRule type="colorScale" priority="2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">
    <cfRule type="colorScale" priority="2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28">
    <cfRule type="colorScale" priority="2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9">
    <cfRule type="colorScale" priority="2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9">
    <cfRule type="colorScale" priority="2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9">
    <cfRule type="colorScale" priority="2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9">
    <cfRule type="colorScale" priority="2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9">
    <cfRule type="colorScale" priority="2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9">
    <cfRule type="colorScale" priority="2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9">
    <cfRule type="colorScale" priority="2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9">
    <cfRule type="colorScale" priority="2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9">
    <cfRule type="colorScale" priority="2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9">
    <cfRule type="colorScale" priority="2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9">
    <cfRule type="colorScale" priority="2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9">
    <cfRule type="colorScale" priority="2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29">
    <cfRule type="colorScale" priority="2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0">
    <cfRule type="colorScale" priority="2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0">
    <cfRule type="colorScale" priority="2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0">
    <cfRule type="colorScale" priority="2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0">
    <cfRule type="colorScale" priority="2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0">
    <cfRule type="colorScale" priority="2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0">
    <cfRule type="colorScale" priority="2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0">
    <cfRule type="colorScale" priority="2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0">
    <cfRule type="colorScale" priority="2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0">
    <cfRule type="colorScale" priority="2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0">
    <cfRule type="colorScale" priority="2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0">
    <cfRule type="colorScale" priority="2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0">
    <cfRule type="colorScale" priority="2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0">
    <cfRule type="colorScale" priority="2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">
    <cfRule type="colorScale" priority="2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">
    <cfRule type="colorScale" priority="2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">
    <cfRule type="colorScale" priority="2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">
    <cfRule type="colorScale" priority="2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">
    <cfRule type="colorScale" priority="2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">
    <cfRule type="colorScale" priority="2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">
    <cfRule type="colorScale" priority="2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">
    <cfRule type="colorScale" priority="2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">
    <cfRule type="colorScale" priority="2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">
    <cfRule type="colorScale" priority="2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30">
    <cfRule type="colorScale" priority="2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">
    <cfRule type="colorScale" priority="2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">
    <cfRule type="colorScale" priority="2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">
    <cfRule type="colorScale" priority="2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">
    <cfRule type="colorScale" priority="2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">
    <cfRule type="colorScale" priority="2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">
    <cfRule type="colorScale" priority="2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">
    <cfRule type="colorScale" priority="2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">
    <cfRule type="colorScale" priority="2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">
    <cfRule type="colorScale" priority="2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">
    <cfRule type="colorScale" priority="2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">
    <cfRule type="colorScale" priority="2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">
    <cfRule type="colorScale" priority="2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">
    <cfRule type="colorScale" priority="2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3:AI34">
    <cfRule type="colorScale" priority="2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3:AI34">
    <cfRule type="colorScale" priority="2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3:AI34">
    <cfRule type="colorScale" priority="2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3:AI34">
    <cfRule type="colorScale" priority="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3:AI34">
    <cfRule type="colorScale" priority="2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3:AI34">
    <cfRule type="colorScale" priority="2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3:AI34">
    <cfRule type="colorScale" priority="2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3:AI34">
    <cfRule type="colorScale" priority="2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3:AI34">
    <cfRule type="colorScale" priority="2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3:AI34">
    <cfRule type="colorScale" priority="2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3:AI34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3:AI34">
    <cfRule type="colorScale" priority="2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3:AI34">
    <cfRule type="colorScale" priority="2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3:AI34">
    <cfRule type="colorScale" priority="2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31 AI33:AI34">
    <cfRule type="colorScale" priority="2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5">
    <cfRule type="colorScale" priority="2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5">
    <cfRule type="colorScale" priority="2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5">
    <cfRule type="colorScale" priority="2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5">
    <cfRule type="colorScale" priority="2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5">
    <cfRule type="colorScale" priority="2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5">
    <cfRule type="colorScale" priority="2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5">
    <cfRule type="colorScale" priority="2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5">
    <cfRule type="colorScale" priority="2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5">
    <cfRule type="colorScale" priority="2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5">
    <cfRule type="colorScale" priority="2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5">
    <cfRule type="colorScale" priority="2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5">
    <cfRule type="colorScale" priority="2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5">
    <cfRule type="colorScale" priority="2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5">
    <cfRule type="colorScale" priority="2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5">
    <cfRule type="colorScale" priority="2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31 AI33:AI35">
    <cfRule type="colorScale" priority="2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6">
    <cfRule type="colorScale" priority="2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6">
    <cfRule type="colorScale" priority="2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6"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6">
    <cfRule type="colorScale" priority="2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6">
    <cfRule type="colorScale" priority="2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6">
    <cfRule type="colorScale" priority="2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6">
    <cfRule type="colorScale" priority="2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6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6">
    <cfRule type="colorScale" priority="2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6">
    <cfRule type="colorScale" priority="2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6">
    <cfRule type="colorScale" priority="2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6">
    <cfRule type="colorScale" priority="2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6">
    <cfRule type="colorScale" priority="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6">
    <cfRule type="colorScale" priority="2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6">
    <cfRule type="colorScale" priority="2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6">
    <cfRule type="colorScale" priority="2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1 AI37">
    <cfRule type="colorScale" priority="2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7">
    <cfRule type="colorScale" priority="2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7">
    <cfRule type="colorScale" priority="2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7">
    <cfRule type="colorScale" priority="2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7">
    <cfRule type="colorScale" priority="2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7">
    <cfRule type="colorScale" priority="2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7">
    <cfRule type="colorScale" priority="2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7">
    <cfRule type="colorScale" priority="2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7">
    <cfRule type="colorScale" priority="2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7">
    <cfRule type="colorScale" priority="2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7">
    <cfRule type="colorScale" priority="2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7">
    <cfRule type="colorScale" priority="2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7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7">
    <cfRule type="colorScale" priority="2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7">
    <cfRule type="colorScale" priority="2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7">
    <cfRule type="colorScale" priority="2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8">
    <cfRule type="colorScale" priority="2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8">
    <cfRule type="colorScale" priority="2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8">
    <cfRule type="colorScale" priority="2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8">
    <cfRule type="colorScale" priority="2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8">
    <cfRule type="colorScale" priority="2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8">
    <cfRule type="colorScale" priority="2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8">
    <cfRule type="colorScale" priority="2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8">
    <cfRule type="colorScale" priority="2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8">
    <cfRule type="colorScale" priority="2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8">
    <cfRule type="colorScale" priority="2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8">
    <cfRule type="colorScale" priority="2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8">
    <cfRule type="colorScale" priority="2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8">
    <cfRule type="colorScale" priority="2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8">
    <cfRule type="colorScale" priority="2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8">
    <cfRule type="colorScale" priority="2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8">
    <cfRule type="colorScale" priority="2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9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9">
    <cfRule type="colorScale" priority="2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9">
    <cfRule type="colorScale" priority="2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9">
    <cfRule type="colorScale" priority="2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9">
    <cfRule type="colorScale" priority="2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9">
    <cfRule type="colorScale" priority="2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9">
    <cfRule type="colorScale" priority="2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9">
    <cfRule type="colorScale" priority="2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9">
    <cfRule type="colorScale" priority="2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9">
    <cfRule type="colorScale" priority="2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9">
    <cfRule type="colorScale" priority="2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9">
    <cfRule type="colorScale" priority="2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9">
    <cfRule type="colorScale" priority="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9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9">
    <cfRule type="colorScale" priority="2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9">
    <cfRule type="colorScale" priority="2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31 AI51 AI33:AI39">
    <cfRule type="colorScale" priority="2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0">
    <cfRule type="colorScale" priority="2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0">
    <cfRule type="colorScale" priority="2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0">
    <cfRule type="colorScale" priority="2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0">
    <cfRule type="colorScale" priority="2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0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0">
    <cfRule type="colorScale" priority="2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0">
    <cfRule type="colorScale" priority="2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0">
    <cfRule type="colorScale" priority="2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0">
    <cfRule type="colorScale" priority="2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0">
    <cfRule type="colorScale" priority="2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0">
    <cfRule type="colorScale" priority="2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0">
    <cfRule type="colorScale" priority="2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0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0">
    <cfRule type="colorScale" priority="2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0">
    <cfRule type="colorScale" priority="2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0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0">
    <cfRule type="colorScale" priority="2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1">
    <cfRule type="colorScale" priority="2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1">
    <cfRule type="colorScale" priority="2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1">
    <cfRule type="colorScale" priority="2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1">
    <cfRule type="colorScale" priority="2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1">
    <cfRule type="colorScale" priority="2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1">
    <cfRule type="colorScale" priority="2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1">
    <cfRule type="colorScale" priority="2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1">
    <cfRule type="colorScale" priority="2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1">
    <cfRule type="colorScale" priority="2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1">
    <cfRule type="colorScale" priority="2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1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1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1">
    <cfRule type="colorScale" priority="2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1">
    <cfRule type="colorScale" priority="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1">
    <cfRule type="colorScale" priority="2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1">
    <cfRule type="colorScale" priority="2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1">
    <cfRule type="colorScale" priority="2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31 AI51 AI43 AI33:AI41">
    <cfRule type="colorScale" priority="2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3">
    <cfRule type="colorScale" priority="2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3">
    <cfRule type="colorScale" priority="2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3">
    <cfRule type="colorScale" priority="2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3">
    <cfRule type="colorScale" priority="2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3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3">
    <cfRule type="colorScale" priority="2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3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3">
    <cfRule type="colorScale" priority="2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3">
    <cfRule type="colorScale" priority="2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3">
    <cfRule type="colorScale" priority="2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3">
    <cfRule type="colorScale" priority="2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3">
    <cfRule type="colorScale" priority="2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3">
    <cfRule type="colorScale" priority="2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3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3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3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3">
    <cfRule type="colorScale" priority="2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4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4">
    <cfRule type="colorScale" priority="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4">
    <cfRule type="colorScale" priority="2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4">
    <cfRule type="colorScale" priority="2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4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4">
    <cfRule type="colorScale" priority="2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4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4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4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4">
    <cfRule type="colorScale" priority="2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4">
    <cfRule type="colorScale" priority="2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4">
    <cfRule type="colorScale" priority="2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4">
    <cfRule type="colorScale" priority="2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4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4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4">
    <cfRule type="colorScale" priority="2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4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4">
    <cfRule type="colorScale" priority="2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31 AI43:AI44 AI33:AI41 AI51">
    <cfRule type="colorScale" priority="2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2">
    <cfRule type="colorScale" priority="2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2">
    <cfRule type="colorScale" priority="2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2">
    <cfRule type="colorScale" priority="2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2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2"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2">
    <cfRule type="colorScale" priority="2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2">
    <cfRule type="colorScale" priority="2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2">
    <cfRule type="colorScale" priority="2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2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2">
    <cfRule type="colorScale" priority="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2">
    <cfRule type="colorScale" priority="2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2">
    <cfRule type="colorScale" priority="2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2">
    <cfRule type="colorScale" priority="2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2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2">
    <cfRule type="colorScale" priority="2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2">
    <cfRule type="colorScale" priority="2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2">
    <cfRule type="colorScale" priority="2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2">
    <cfRule type="colorScale" priority="2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2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31 AI33:AI44 AI51">
    <cfRule type="colorScale" priority="2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">
    <cfRule type="colorScale" priority="2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">
    <cfRule type="colorScale" priority="2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">
    <cfRule type="colorScale" priority="2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">
    <cfRule type="colorScale" priority="2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">
    <cfRule type="colorScale" priority="2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">
    <cfRule type="colorScale" priority="2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">
    <cfRule type="colorScale" priority="2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">
    <cfRule type="colorScale" priority="2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">
    <cfRule type="colorScale" priority="2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">
    <cfRule type="colorScale" priority="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">
    <cfRule type="colorScale" priority="2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">
    <cfRule type="colorScale" priority="2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">
    <cfRule type="colorScale" priority="2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">
    <cfRule type="colorScale" priority="2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5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5">
    <cfRule type="colorScale" priority="2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5">
    <cfRule type="colorScale" priority="2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5">
    <cfRule type="colorScale" priority="2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5">
    <cfRule type="colorScale" priority="2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5">
    <cfRule type="colorScale" priority="2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5">
    <cfRule type="colorScale" priority="2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5">
    <cfRule type="colorScale" priority="2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5">
    <cfRule type="colorScale" priority="2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5">
    <cfRule type="colorScale" priority="2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5">
    <cfRule type="colorScale" priority="2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5">
    <cfRule type="colorScale" priority="2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5">
    <cfRule type="colorScale" priority="2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5">
    <cfRule type="colorScale" priority="2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5">
    <cfRule type="colorScale" priority="2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5">
    <cfRule type="colorScale" priority="2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5">
    <cfRule type="colorScale" priority="2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5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5">
    <cfRule type="colorScale" priority="2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5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45 AI51">
    <cfRule type="colorScale" priority="2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">
    <cfRule type="colorScale" priority="2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">
    <cfRule type="colorScale" priority="2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">
    <cfRule type="colorScale" priority="2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">
    <cfRule type="colorScale" priority="2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">
    <cfRule type="colorScale" priority="2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">
    <cfRule type="colorScale" priority="2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">
    <cfRule type="colorScale" priority="2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">
    <cfRule type="colorScale" priority="2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">
    <cfRule type="colorScale" priority="2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">
    <cfRule type="colorScale" priority="2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">
    <cfRule type="colorScale" priority="2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">
    <cfRule type="colorScale" priority="2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">
    <cfRule type="colorScale" priority="2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">
    <cfRule type="colorScale" priority="2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">
    <cfRule type="colorScale" priority="2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">
    <cfRule type="colorScale" priority="2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">
    <cfRule type="colorScale" priority="2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">
    <cfRule type="colorScale" priority="2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">
    <cfRule type="colorScale" priority="2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46 AI51">
    <cfRule type="colorScale" priority="2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7">
    <cfRule type="colorScale" priority="2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7">
    <cfRule type="colorScale" priority="2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7">
    <cfRule type="colorScale" priority="2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7">
    <cfRule type="colorScale" priority="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7">
    <cfRule type="colorScale" priority="2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7">
    <cfRule type="colorScale" priority="2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7">
    <cfRule type="colorScale" priority="2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7">
    <cfRule type="colorScale" priority="2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7">
    <cfRule type="colorScale" priority="2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7">
    <cfRule type="colorScale" priority="2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7">
    <cfRule type="colorScale" priority="2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7">
    <cfRule type="colorScale" priority="2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7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7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7">
    <cfRule type="colorScale" priority="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7">
    <cfRule type="colorScale" priority="2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7">
    <cfRule type="colorScale" priority="2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7">
    <cfRule type="colorScale" priority="2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7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7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7">
    <cfRule type="colorScale" priority="2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7">
    <cfRule type="colorScale" priority="2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47 AI51">
    <cfRule type="colorScale" priority="2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8">
    <cfRule type="colorScale" priority="2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8">
    <cfRule type="colorScale" priority="2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8">
    <cfRule type="colorScale" priority="2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8">
    <cfRule type="colorScale" priority="2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8">
    <cfRule type="colorScale" priority="2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8">
    <cfRule type="colorScale" priority="2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8">
    <cfRule type="colorScale" priority="2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8">
    <cfRule type="colorScale" priority="2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8">
    <cfRule type="colorScale" priority="2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8">
    <cfRule type="colorScale" priority="2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8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8">
    <cfRule type="colorScale" priority="2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8">
    <cfRule type="colorScale" priority="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8">
    <cfRule type="colorScale" priority="2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8">
    <cfRule type="colorScale" priority="2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8">
    <cfRule type="colorScale" priority="2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8">
    <cfRule type="colorScale" priority="2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8">
    <cfRule type="colorScale" priority="2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8">
    <cfRule type="colorScale" priority="2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8">
    <cfRule type="colorScale" priority="2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8">
    <cfRule type="colorScale" priority="2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8">
    <cfRule type="colorScale" priority="2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8">
    <cfRule type="colorScale" priority="2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48 AI51">
    <cfRule type="colorScale" priority="2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49">
    <cfRule type="cellIs" dxfId="51" priority="2408" operator="lessThan">
      <formula>0</formula>
    </cfRule>
    <cfRule type="cellIs" dxfId="50" priority="2409" operator="greaterThan">
      <formula>0</formula>
    </cfRule>
  </conditionalFormatting>
  <conditionalFormatting sqref="BM49">
    <cfRule type="cellIs" dxfId="49" priority="2406" operator="lessThan">
      <formula>0</formula>
    </cfRule>
    <cfRule type="cellIs" dxfId="48" priority="2407" operator="greaterThan">
      <formula>0</formula>
    </cfRule>
  </conditionalFormatting>
  <conditionalFormatting sqref="X49">
    <cfRule type="cellIs" dxfId="47" priority="2403" operator="greaterThan">
      <formula>16</formula>
    </cfRule>
    <cfRule type="cellIs" dxfId="46" priority="2404" operator="between">
      <formula>5</formula>
      <formula>16</formula>
    </cfRule>
    <cfRule type="cellIs" dxfId="45" priority="2405" operator="lessThan">
      <formula>5</formula>
    </cfRule>
  </conditionalFormatting>
  <conditionalFormatting sqref="Y49">
    <cfRule type="cellIs" dxfId="44" priority="2400" operator="greaterThan">
      <formula>16</formula>
    </cfRule>
    <cfRule type="cellIs" dxfId="43" priority="2401" operator="between">
      <formula>5</formula>
      <formula>16</formula>
    </cfRule>
    <cfRule type="cellIs" dxfId="42" priority="2402" operator="lessThan">
      <formula>5</formula>
    </cfRule>
  </conditionalFormatting>
  <conditionalFormatting sqref="Z49">
    <cfRule type="cellIs" dxfId="41" priority="2397" operator="greaterThan">
      <formula>16</formula>
    </cfRule>
    <cfRule type="cellIs" dxfId="40" priority="2398" operator="between">
      <formula>5</formula>
      <formula>16</formula>
    </cfRule>
    <cfRule type="cellIs" dxfId="39" priority="2399" operator="lessThan">
      <formula>5</formula>
    </cfRule>
  </conditionalFormatting>
  <conditionalFormatting sqref="AA49">
    <cfRule type="cellIs" dxfId="38" priority="2394" operator="greaterThan">
      <formula>16</formula>
    </cfRule>
    <cfRule type="cellIs" dxfId="37" priority="2395" operator="between">
      <formula>5</formula>
      <formula>16</formula>
    </cfRule>
    <cfRule type="cellIs" dxfId="36" priority="2396" operator="lessThan">
      <formula>5</formula>
    </cfRule>
  </conditionalFormatting>
  <conditionalFormatting sqref="AF49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9">
    <cfRule type="colorScale" priority="2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9">
    <cfRule type="colorScale" priority="2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9">
    <cfRule type="colorScale" priority="2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9">
    <cfRule type="colorScale" priority="2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9">
    <cfRule type="colorScale" priority="2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9">
    <cfRule type="colorScale" priority="2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9">
    <cfRule type="colorScale" priority="2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9">
    <cfRule type="colorScale" priority="2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9">
    <cfRule type="colorScale" priority="2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9">
    <cfRule type="colorScale" priority="2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9">
    <cfRule type="colorScale" priority="2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9">
    <cfRule type="colorScale" priority="2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9">
    <cfRule type="colorScale" priority="2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9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9">
    <cfRule type="colorScale" priority="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9">
    <cfRule type="colorScale" priority="2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9">
    <cfRule type="colorScale" priority="2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9">
    <cfRule type="colorScale" priority="2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49">
    <cfRule type="cellIs" dxfId="35" priority="2373" operator="lessThan">
      <formula>0</formula>
    </cfRule>
    <cfRule type="cellIs" dxfId="34" priority="2374" operator="greaterThan">
      <formula>0</formula>
    </cfRule>
  </conditionalFormatting>
  <conditionalFormatting sqref="BQ49">
    <cfRule type="cellIs" dxfId="33" priority="2371" operator="lessThan">
      <formula>0</formula>
    </cfRule>
    <cfRule type="cellIs" dxfId="32" priority="2372" operator="greaterThan">
      <formula>0</formula>
    </cfRule>
  </conditionalFormatting>
  <conditionalFormatting sqref="BS49">
    <cfRule type="cellIs" dxfId="31" priority="2369" operator="lessThan">
      <formula>0</formula>
    </cfRule>
    <cfRule type="cellIs" dxfId="30" priority="2370" operator="greaterThan">
      <formula>0</formula>
    </cfRule>
  </conditionalFormatting>
  <conditionalFormatting sqref="BU49">
    <cfRule type="cellIs" dxfId="29" priority="2367" operator="lessThan">
      <formula>0</formula>
    </cfRule>
    <cfRule type="cellIs" dxfId="28" priority="2368" operator="greaterThan">
      <formula>0</formula>
    </cfRule>
  </conditionalFormatting>
  <conditionalFormatting sqref="BX49">
    <cfRule type="cellIs" dxfId="27" priority="2365" operator="lessThan">
      <formula>0</formula>
    </cfRule>
    <cfRule type="cellIs" dxfId="26" priority="2366" operator="greaterThan">
      <formula>0</formula>
    </cfRule>
  </conditionalFormatting>
  <conditionalFormatting sqref="AF49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9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9">
    <cfRule type="colorScale" priority="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9">
    <cfRule type="colorScale" priority="2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9">
    <cfRule type="colorScale" priority="2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9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9">
    <cfRule type="colorScale" priority="2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9">
    <cfRule type="colorScale" priority="2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9">
    <cfRule type="colorScale" priority="2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9">
    <cfRule type="colorScale" priority="2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9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9">
    <cfRule type="colorScale" priority="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9">
    <cfRule type="colorScale" priority="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9">
    <cfRule type="colorScale" priority="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9">
    <cfRule type="colorScale" priority="2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9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9">
    <cfRule type="colorScale" priority="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9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9">
    <cfRule type="colorScale" priority="2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9">
    <cfRule type="colorScale" priority="2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9">
    <cfRule type="colorScale" priority="2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9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9">
    <cfRule type="colorScale" priority="2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9">
    <cfRule type="colorScale" priority="2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9">
    <cfRule type="colorScale" priority="2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9">
    <cfRule type="colorScale" priority="2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9">
    <cfRule type="colorScale" priority="2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9">
    <cfRule type="colorScale" priority="2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9">
    <cfRule type="colorScale" priority="2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">
    <cfRule type="colorScale" priority="2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">
    <cfRule type="colorScale" priority="2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">
    <cfRule type="colorScale" priority="2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">
    <cfRule type="colorScale" priority="2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">
    <cfRule type="colorScale" priority="2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">
    <cfRule type="colorScale" priority="2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">
    <cfRule type="colorScale" priority="2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">
    <cfRule type="colorScale" priority="2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">
    <cfRule type="colorScale" priority="2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">
    <cfRule type="colorScale" priority="2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">
    <cfRule type="colorScale" priority="2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">
    <cfRule type="colorScale" priority="2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">
    <cfRule type="colorScale" priority="2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">
    <cfRule type="colorScale" priority="2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">
    <cfRule type="colorScale" priority="2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">
    <cfRule type="colorScale" priority="2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">
    <cfRule type="colorScale" priority="2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">
    <cfRule type="colorScale" priority="2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">
    <cfRule type="colorScale" priority="2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">
    <cfRule type="colorScale" priority="2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">
    <cfRule type="colorScale" priority="2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">
    <cfRule type="colorScale" priority="2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">
    <cfRule type="colorScale" priority="2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">
    <cfRule type="colorScale" priority="2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">
    <cfRule type="colorScale" priority="2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">
    <cfRule type="colorScale" priority="2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">
    <cfRule type="colorScale" priority="2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">
    <cfRule type="colorScale" priority="2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">
    <cfRule type="colorScale" priority="2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">
    <cfRule type="colorScale" priority="2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">
    <cfRule type="colorScale" priority="2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">
    <cfRule type="colorScale" priority="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">
    <cfRule type="colorScale" priority="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">
    <cfRule type="colorScale" priority="2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">
    <cfRule type="colorScale" priority="2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">
    <cfRule type="colorScale" priority="2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">
    <cfRule type="colorScale" priority="2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">
    <cfRule type="colorScale" priority="2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">
    <cfRule type="colorScale" priority="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">
    <cfRule type="colorScale" priority="2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">
    <cfRule type="colorScale" priority="2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">
    <cfRule type="colorScale" priority="2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">
    <cfRule type="colorScale" priority="2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">
    <cfRule type="colorScale" priority="2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">
    <cfRule type="colorScale" priority="2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50">
    <cfRule type="cellIs" dxfId="25" priority="2166" operator="lessThan">
      <formula>0</formula>
    </cfRule>
    <cfRule type="cellIs" dxfId="24" priority="2167" operator="greaterThan">
      <formula>0</formula>
    </cfRule>
  </conditionalFormatting>
  <conditionalFormatting sqref="BM50">
    <cfRule type="cellIs" dxfId="23" priority="2164" operator="lessThan">
      <formula>0</formula>
    </cfRule>
    <cfRule type="cellIs" dxfId="22" priority="2165" operator="greaterThan">
      <formula>0</formula>
    </cfRule>
  </conditionalFormatting>
  <conditionalFormatting sqref="X50">
    <cfRule type="cellIs" dxfId="21" priority="2161" operator="greaterThan">
      <formula>16</formula>
    </cfRule>
    <cfRule type="cellIs" dxfId="20" priority="2162" operator="between">
      <formula>5</formula>
      <formula>16</formula>
    </cfRule>
    <cfRule type="cellIs" dxfId="19" priority="2163" operator="lessThan">
      <formula>5</formula>
    </cfRule>
  </conditionalFormatting>
  <conditionalFormatting sqref="Y50">
    <cfRule type="cellIs" dxfId="18" priority="2158" operator="greaterThan">
      <formula>16</formula>
    </cfRule>
    <cfRule type="cellIs" dxfId="17" priority="2159" operator="between">
      <formula>5</formula>
      <formula>16</formula>
    </cfRule>
    <cfRule type="cellIs" dxfId="16" priority="2160" operator="lessThan">
      <formula>5</formula>
    </cfRule>
  </conditionalFormatting>
  <conditionalFormatting sqref="Z50">
    <cfRule type="cellIs" dxfId="15" priority="2155" operator="greaterThan">
      <formula>16</formula>
    </cfRule>
    <cfRule type="cellIs" dxfId="14" priority="2156" operator="between">
      <formula>5</formula>
      <formula>16</formula>
    </cfRule>
    <cfRule type="cellIs" dxfId="13" priority="2157" operator="lessThan">
      <formula>5</formula>
    </cfRule>
  </conditionalFormatting>
  <conditionalFormatting sqref="AA50">
    <cfRule type="cellIs" dxfId="12" priority="2152" operator="greaterThan">
      <formula>16</formula>
    </cfRule>
    <cfRule type="cellIs" dxfId="11" priority="2153" operator="between">
      <formula>5</formula>
      <formula>16</formula>
    </cfRule>
    <cfRule type="cellIs" dxfId="10" priority="2154" operator="lessThan">
      <formula>5</formula>
    </cfRule>
  </conditionalFormatting>
  <conditionalFormatting sqref="AF50">
    <cfRule type="colorScale" priority="2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"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">
    <cfRule type="colorScale" priority="2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">
    <cfRule type="colorScale" priority="2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">
    <cfRule type="colorScale" priority="2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">
    <cfRule type="colorScale" priority="2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">
    <cfRule type="colorScale" priority="2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">
    <cfRule type="colorScale" priority="2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">
    <cfRule type="colorScale" priority="2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">
    <cfRule type="colorScale" priority="2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">
    <cfRule type="colorScale" priority="2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">
    <cfRule type="colorScale" priority="2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">
    <cfRule type="colorScale" priority="2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">
    <cfRule type="colorScale" priority="2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">
    <cfRule type="colorScale" priority="2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">
    <cfRule type="colorScale" priority="2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">
    <cfRule type="colorScale" priority="2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">
    <cfRule type="colorScale" priority="2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50">
    <cfRule type="cellIs" dxfId="9" priority="2131" operator="lessThan">
      <formula>0</formula>
    </cfRule>
    <cfRule type="cellIs" dxfId="8" priority="2132" operator="greaterThan">
      <formula>0</formula>
    </cfRule>
  </conditionalFormatting>
  <conditionalFormatting sqref="BQ50">
    <cfRule type="cellIs" dxfId="7" priority="2129" operator="lessThan">
      <formula>0</formula>
    </cfRule>
    <cfRule type="cellIs" dxfId="6" priority="2130" operator="greaterThan">
      <formula>0</formula>
    </cfRule>
  </conditionalFormatting>
  <conditionalFormatting sqref="BS50">
    <cfRule type="cellIs" dxfId="5" priority="2127" operator="lessThan">
      <formula>0</formula>
    </cfRule>
    <cfRule type="cellIs" dxfId="4" priority="2128" operator="greaterThan">
      <formula>0</formula>
    </cfRule>
  </conditionalFormatting>
  <conditionalFormatting sqref="BU50">
    <cfRule type="cellIs" dxfId="3" priority="2125" operator="lessThan">
      <formula>0</formula>
    </cfRule>
    <cfRule type="cellIs" dxfId="2" priority="2126" operator="greaterThan">
      <formula>0</formula>
    </cfRule>
  </conditionalFormatting>
  <conditionalFormatting sqref="BX50">
    <cfRule type="cellIs" dxfId="1" priority="2123" operator="lessThan">
      <formula>0</formula>
    </cfRule>
    <cfRule type="cellIs" dxfId="0" priority="2124" operator="greaterThan">
      <formula>0</formula>
    </cfRule>
  </conditionalFormatting>
  <conditionalFormatting sqref="AF50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">
    <cfRule type="colorScale" priority="2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0">
    <cfRule type="colorScale" priority="2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0">
    <cfRule type="colorScale" priority="2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0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0">
    <cfRule type="colorScale" priority="2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0">
    <cfRule type="colorScale" priority="2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0">
    <cfRule type="colorScale" priority="2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0">
    <cfRule type="colorScale" priority="2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0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0">
    <cfRule type="colorScale" priority="2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0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0">
    <cfRule type="colorScale" priority="2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0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0">
    <cfRule type="colorScale" priority="2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0">
    <cfRule type="colorScale" priority="2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0">
    <cfRule type="colorScale" priority="2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0">
    <cfRule type="colorScale" priority="2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0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0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0">
    <cfRule type="colorScale" priority="2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0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0">
    <cfRule type="colorScale" priority="2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0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">
    <cfRule type="colorScale" priority="2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0">
    <cfRule type="colorScale" priority="2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0">
    <cfRule type="colorScale" priority="2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">
    <cfRule type="colorScale" priority="1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">
    <cfRule type="colorScale" priority="1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">
    <cfRule type="colorScale" priority="1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">
    <cfRule type="colorScale" priority="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">
    <cfRule type="colorScale" priority="1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">
    <cfRule type="colorScale" priority="1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">
    <cfRule type="colorScale" priority="1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">
    <cfRule type="colorScale" priority="1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">
    <cfRule type="colorScale" priority="1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">
    <cfRule type="colorScale" priority="1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">
    <cfRule type="colorScale" priority="1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">
    <cfRule type="colorScale" priority="1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">
    <cfRule type="colorScale" priority="1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">
    <cfRule type="colorScale" priority="1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">
    <cfRule type="colorScale" priority="1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">
    <cfRule type="colorScale" priority="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">
    <cfRule type="colorScale" priority="1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">
    <cfRule type="colorScale" priority="1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0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0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0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0">
    <cfRule type="colorScale" priority="1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0">
    <cfRule type="colorScale" priority="1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0">
    <cfRule type="colorScale" priority="1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0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0">
    <cfRule type="colorScale" priority="1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0">
    <cfRule type="colorScale" priority="1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0">
    <cfRule type="colorScale" priority="1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0">
    <cfRule type="colorScale" priority="1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0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0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0">
    <cfRule type="colorScale" priority="1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0">
    <cfRule type="colorScale" priority="1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0">
    <cfRule type="colorScale" priority="1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0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0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0">
    <cfRule type="colorScale" priority="1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0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0">
    <cfRule type="colorScale" priority="1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0">
    <cfRule type="colorScale" priority="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0">
    <cfRule type="colorScale" priority="1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0">
    <cfRule type="colorScale" priority="1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0">
    <cfRule type="colorScale" priority="1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0">
    <cfRule type="colorScale" priority="1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0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0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0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0">
    <cfRule type="colorScale" priority="1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0">
    <cfRule type="colorScale" priority="1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0">
    <cfRule type="colorScale" priority="1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0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0">
    <cfRule type="colorScale" priority="1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0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0">
    <cfRule type="colorScale" priority="1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0">
    <cfRule type="colorScale" priority="1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0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0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0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0">
    <cfRule type="colorScale" priority="1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0">
    <cfRule type="colorScale" priority="1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0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0">
    <cfRule type="colorScale" priority="1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0">
    <cfRule type="colorScale" priority="1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0">
    <cfRule type="colorScale" priority="1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0">
    <cfRule type="colorScale" priority="1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0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51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14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5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15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6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6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16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7">
    <cfRule type="colorScale" priority="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7">
    <cfRule type="colorScale" priority="1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7">
    <cfRule type="colorScale" priority="1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17">
    <cfRule type="colorScale" priority="1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8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8">
    <cfRule type="colorScale" priority="1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8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8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18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9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9">
    <cfRule type="colorScale" priority="1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9">
    <cfRule type="colorScale" priority="1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9">
    <cfRule type="colorScale" priority="1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9">
    <cfRule type="colorScale" priority="1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0">
    <cfRule type="colorScale" priority="1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0">
    <cfRule type="colorScale" priority="1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0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0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0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20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1">
    <cfRule type="colorScale" priority="1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1">
    <cfRule type="colorScale" priority="1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1">
    <cfRule type="colorScale" priority="1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1">
    <cfRule type="colorScale" priority="1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1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1">
    <cfRule type="colorScale" priority="1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21">
    <cfRule type="colorScale" priority="1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2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2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2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2">
    <cfRule type="colorScale" priority="1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2">
    <cfRule type="colorScale" priority="1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2">
    <cfRule type="colorScale" priority="1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2">
    <cfRule type="colorScale" priority="1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22">
    <cfRule type="colorScale" priority="1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3">
    <cfRule type="colorScale" priority="1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3"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3">
    <cfRule type="colorScale" priority="1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3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3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3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3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3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23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4:AS26">
    <cfRule type="colorScale" priority="1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4:AS26">
    <cfRule type="colorScale" priority="1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4:AS26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4:AS26">
    <cfRule type="colorScale" priority="1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4:AS26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4:AS26">
    <cfRule type="colorScale" priority="1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4:AS26">
    <cfRule type="colorScale" priority="1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4:AS26">
    <cfRule type="colorScale" priority="1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4:AS26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26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7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7">
    <cfRule type="colorScale" priority="1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7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7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7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7">
    <cfRule type="colorScale" priority="1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7">
    <cfRule type="colorScale" priority="1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7">
    <cfRule type="colorScale" priority="1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7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7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27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8">
    <cfRule type="colorScale" priority="1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8">
    <cfRule type="colorScale" priority="1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8">
    <cfRule type="colorScale" priority="1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8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8">
    <cfRule type="colorScale" priority="1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8">
    <cfRule type="colorScale" priority="1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8">
    <cfRule type="colorScale" priority="1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8">
    <cfRule type="colorScale" priority="1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8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8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8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28">
    <cfRule type="colorScale" priority="1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9">
    <cfRule type="colorScale" priority="1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9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9">
    <cfRule type="colorScale" priority="1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9">
    <cfRule type="colorScale" priority="1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9">
    <cfRule type="colorScale" priority="1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9">
    <cfRule type="colorScale" priority="1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9">
    <cfRule type="colorScale" priority="1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9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9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9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9">
    <cfRule type="colorScale" priority="1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9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29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0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0">
    <cfRule type="colorScale" priority="1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0">
    <cfRule type="colorScale" priority="1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0">
    <cfRule type="colorScale" priority="1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0">
    <cfRule type="colorScale" priority="1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0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0">
    <cfRule type="colorScale" priority="1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0">
    <cfRule type="colorScale" priority="1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0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0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0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0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0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8">
    <cfRule type="colorScale" priority="1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8">
    <cfRule type="colorScale" priority="1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8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8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8">
    <cfRule type="colorScale" priority="1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8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8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8">
    <cfRule type="colorScale" priority="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8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8">
    <cfRule type="colorScale" priority="1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8">
    <cfRule type="colorScale" priority="1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30">
    <cfRule type="colorScale" priority="1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1">
    <cfRule type="colorScale" priority="1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1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1">
    <cfRule type="colorScale" priority="1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1">
    <cfRule type="colorScale" priority="1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1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1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1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1">
    <cfRule type="colorScale" priority="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1">
    <cfRule type="colorScale" priority="1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1">
    <cfRule type="colorScale" priority="1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1">
    <cfRule type="colorScale" priority="1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1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1">
    <cfRule type="colorScale" priority="1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1">
    <cfRule type="colorScale" priority="1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3:AS34">
    <cfRule type="colorScale" priority="1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3:AS34">
    <cfRule type="colorScale" priority="1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3:AS34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3:AS34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3:AS34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3:AS34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3:AS34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3:AS34">
    <cfRule type="colorScale" priority="1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3:AS34">
    <cfRule type="colorScale" priority="1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3:AS34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3:AS34">
    <cfRule type="colorScale" priority="1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3:AS34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3:AS34">
    <cfRule type="colorScale" priority="1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3:AS34">
    <cfRule type="colorScale" priority="1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31 AS33:AS34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5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5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5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5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5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5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5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5">
    <cfRule type="colorScale" priority="1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5">
    <cfRule type="colorScale" priority="1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5">
    <cfRule type="colorScale" priority="1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5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5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5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5">
    <cfRule type="colorScale" priority="1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5">
    <cfRule type="colorScale" priority="1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31 AS33:AS35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6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6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6">
    <cfRule type="colorScale" priority="1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6">
    <cfRule type="colorScale" priority="1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6">
    <cfRule type="colorScale" priority="1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6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6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6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6">
    <cfRule type="colorScale" priority="1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6">
    <cfRule type="colorScale" priority="1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6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6">
    <cfRule type="colorScale" priority="1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6">
    <cfRule type="colorScale" priority="1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6">
    <cfRule type="colorScale" priority="1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6">
    <cfRule type="colorScale" priority="1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6">
    <cfRule type="colorScale" priority="1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1 AS37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7">
    <cfRule type="colorScale" priority="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7">
    <cfRule type="colorScale" priority="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7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7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7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7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7">
    <cfRule type="colorScale" priority="1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7">
    <cfRule type="colorScale" priority="1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7">
    <cfRule type="colorScale" priority="1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7">
    <cfRule type="colorScale" priority="1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7">
    <cfRule type="colorScale" priority="1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7">
    <cfRule type="colorScale" priority="1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7">
    <cfRule type="colorScale" priority="1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7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7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8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8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8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8">
    <cfRule type="colorScale" priority="1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8">
    <cfRule type="colorScale" priority="1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8">
    <cfRule type="colorScale" priority="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8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8">
    <cfRule type="colorScale" priority="1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8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8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8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8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8">
    <cfRule type="colorScale" priority="1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8">
    <cfRule type="colorScale" priority="1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8">
    <cfRule type="colorScale" priority="1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8">
    <cfRule type="colorScale" priority="1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9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9">
    <cfRule type="colorScale" priority="1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9">
    <cfRule type="colorScale" priority="1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9">
    <cfRule type="colorScale" priority="1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9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9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9">
    <cfRule type="colorScale" priority="1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9">
    <cfRule type="colorScale" priority="1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9">
    <cfRule type="colorScale" priority="1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9">
    <cfRule type="colorScale" priority="1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9">
    <cfRule type="colorScale" priority="1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9">
    <cfRule type="colorScale" priority="1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9">
    <cfRule type="colorScale" priority="1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9">
    <cfRule type="colorScale" priority="1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9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9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31 AS51 AS33:AS39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0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0">
    <cfRule type="colorScale" priority="1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0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0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0">
    <cfRule type="colorScale" priority="1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0">
    <cfRule type="colorScale" priority="1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0">
    <cfRule type="colorScale" priority="1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0">
    <cfRule type="colorScale" priority="1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0">
    <cfRule type="colorScale" priority="1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0">
    <cfRule type="colorScale" priority="1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0">
    <cfRule type="colorScale" priority="1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0">
    <cfRule type="colorScale" priority="1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0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0">
    <cfRule type="colorScale" priority="1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0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0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0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1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1">
    <cfRule type="colorScale" priority="1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1">
    <cfRule type="colorScale" priority="1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1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1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1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1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1">
    <cfRule type="colorScale" priority="1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1">
    <cfRule type="colorScale" priority="1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1">
    <cfRule type="colorScale" priority="1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1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1">
    <cfRule type="colorScale" priority="1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1">
    <cfRule type="colorScale" priority="1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1">
    <cfRule type="colorScale" priority="1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1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1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1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31 AS51 AS43 AS33:AS41">
    <cfRule type="colorScale" priority="1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3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3">
    <cfRule type="colorScale" priority="1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3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3"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3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3">
    <cfRule type="colorScale" priority="1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3">
    <cfRule type="colorScale" priority="1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3">
    <cfRule type="colorScale" priority="1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3">
    <cfRule type="colorScale" priority="1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3">
    <cfRule type="colorScale" priority="1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3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3">
    <cfRule type="colorScale" priority="1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3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3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3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3">
    <cfRule type="colorScale" priority="1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3">
    <cfRule type="colorScale" priority="1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4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4">
    <cfRule type="colorScale" priority="1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4">
    <cfRule type="colorScale" priority="1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4">
    <cfRule type="colorScale" priority="1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4">
    <cfRule type="colorScale" priority="1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4">
    <cfRule type="colorScale" priority="1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4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4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4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4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4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4">
    <cfRule type="colorScale" priority="1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4">
    <cfRule type="colorScale" priority="1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4">
    <cfRule type="colorScale" priority="1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4">
    <cfRule type="colorScale" priority="1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4">
    <cfRule type="colorScale" priority="1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4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4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31 AS43:AS44 AS33:AS41 AS51">
    <cfRule type="colorScale" priority="1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2">
    <cfRule type="colorScale" priority="1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2">
    <cfRule type="colorScale" priority="1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2">
    <cfRule type="colorScale" priority="1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2">
    <cfRule type="colorScale" priority="1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2">
    <cfRule type="colorScale" priority="1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2">
    <cfRule type="colorScale" priority="1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2">
    <cfRule type="colorScale" priority="1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2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2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2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2">
    <cfRule type="colorScale" priority="1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2">
    <cfRule type="colorScale" priority="1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2">
    <cfRule type="colorScale" priority="1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2">
    <cfRule type="colorScale" priority="1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2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2">
    <cfRule type="colorScale" priority="1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2">
    <cfRule type="colorScale" priority="1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2">
    <cfRule type="colorScale" priority="1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2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31 AS33:AS44 AS51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2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2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2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2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2">
    <cfRule type="colorScale" priority="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2">
    <cfRule type="colorScale" priority="1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2">
    <cfRule type="colorScale" priority="1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2">
    <cfRule type="colorScale" priority="1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2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2">
    <cfRule type="colorScale" priority="1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2">
    <cfRule type="colorScale" priority="1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2">
    <cfRule type="colorScale" priority="1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2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2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2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2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2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2">
    <cfRule type="colorScale" priority="1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2">
    <cfRule type="colorScale" priority="1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2">
    <cfRule type="colorScale" priority="1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5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5">
    <cfRule type="colorScale" priority="1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5">
    <cfRule type="colorScale" priority="1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5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5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5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5">
    <cfRule type="colorScale" priority="1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5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5">
    <cfRule type="colorScale" priority="1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5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5">
    <cfRule type="colorScale" priority="1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5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5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5">
    <cfRule type="colorScale" priority="1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5"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5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5">
    <cfRule type="colorScale" priority="1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5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5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5">
    <cfRule type="colorScale" priority="1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45 AS51">
    <cfRule type="colorScale" priority="1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6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6">
    <cfRule type="colorScale" priority="1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6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6">
    <cfRule type="colorScale" priority="1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6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6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6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6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6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6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6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6">
    <cfRule type="colorScale" priority="1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6">
    <cfRule type="colorScale" priority="1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6">
    <cfRule type="colorScale" priority="1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6">
    <cfRule type="colorScale" priority="1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6">
    <cfRule type="colorScale" priority="1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6">
    <cfRule type="colorScale" priority="1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6">
    <cfRule type="colorScale" priority="1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6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6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6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46 AS51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7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7">
    <cfRule type="colorScale" priority="1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7">
    <cfRule type="colorScale" priority="1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7">
    <cfRule type="colorScale" priority="1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7">
    <cfRule type="colorScale" priority="1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7">
    <cfRule type="colorScale" priority="1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7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7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7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7">
    <cfRule type="colorScale" priority="1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7">
    <cfRule type="colorScale" priority="1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7">
    <cfRule type="colorScale" priority="1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7">
    <cfRule type="colorScale" priority="1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7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7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7">
    <cfRule type="colorScale" priority="1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7">
    <cfRule type="colorScale" priority="1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7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7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7">
    <cfRule type="colorScale" priority="1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7"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7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47 AS51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8">
    <cfRule type="colorScale" priority="1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8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8">
    <cfRule type="colorScale" priority="1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8">
    <cfRule type="colorScale" priority="1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8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8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8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8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8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8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8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8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8"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8">
    <cfRule type="colorScale" priority="1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8">
    <cfRule type="colorScale" priority="1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8">
    <cfRule type="colorScale" priority="1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8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8">
    <cfRule type="colorScale" priority="1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8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8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8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8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8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48 AS51">
    <cfRule type="colorScale" priority="1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9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9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9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9">
    <cfRule type="colorScale" priority="1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9">
    <cfRule type="colorScale" priority="1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9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9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9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9">
    <cfRule type="colorScale" priority="1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9">
    <cfRule type="colorScale" priority="1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9">
    <cfRule type="colorScale" priority="1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9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9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9">
    <cfRule type="colorScale" priority="1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9">
    <cfRule type="colorScale" priority="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9">
    <cfRule type="colorScale" priority="1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9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9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9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9">
    <cfRule type="colorScale" priority="1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9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9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9">
    <cfRule type="colorScale" priority="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9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0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0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0">
    <cfRule type="colorScale" priority="1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0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0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0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0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0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0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0">
    <cfRule type="colorScale" priority="1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0">
    <cfRule type="colorScale" priority="1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0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0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0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0">
    <cfRule type="colorScale" priority="1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0">
    <cfRule type="colorScale" priority="1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0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0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0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0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0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0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0">
    <cfRule type="colorScale" priority="1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0">
    <cfRule type="colorScale" priority="1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51">
    <cfRule type="colorScale" priority="1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14">
    <cfRule type="colorScale" priority="1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5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15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6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6">
    <cfRule type="colorScale" priority="1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16">
    <cfRule type="colorScale" priority="1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7">
    <cfRule type="colorScale" priority="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7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7">
    <cfRule type="colorScale" priority="1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17">
    <cfRule type="colorScale" priority="1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8">
    <cfRule type="colorScale" priority="1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8">
    <cfRule type="colorScale" priority="1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8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8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18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9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9">
    <cfRule type="colorScale" priority="1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9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9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9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0">
    <cfRule type="colorScale" priority="1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0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0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0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0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20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1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1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1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1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1">
    <cfRule type="colorScale" priority="1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1">
    <cfRule type="colorScale" priority="1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21">
    <cfRule type="colorScale" priority="1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2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2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2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2">
    <cfRule type="colorScale" priority="1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2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2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2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22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3">
    <cfRule type="colorScale" priority="1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3">
    <cfRule type="colorScale" priority="1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3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3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3">
    <cfRule type="colorScale" priority="1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3">
    <cfRule type="colorScale" priority="1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3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3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23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4:AT26">
    <cfRule type="colorScale" priority="1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4:AT26">
    <cfRule type="colorScale" priority="1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4:AT26">
    <cfRule type="colorScale" priority="1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4:AT26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4:AT26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4:AT26">
    <cfRule type="colorScale" priority="1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4:AT26">
    <cfRule type="colorScale" priority="1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4:AT26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4:AT26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26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7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7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7">
    <cfRule type="colorScale" priority="1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7">
    <cfRule type="colorScale" priority="1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7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7">
    <cfRule type="colorScale" priority="1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7">
    <cfRule type="colorScale" priority="1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7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7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7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27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"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">
    <cfRule type="colorScale" priority="1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">
    <cfRule type="colorScale" priority="1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28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9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9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9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9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9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9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9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9">
    <cfRule type="colorScale" priority="1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9">
    <cfRule type="colorScale" priority="1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9">
    <cfRule type="colorScale" priority="1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9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9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29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0">
    <cfRule type="colorScale" priority="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0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0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0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0"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0">
    <cfRule type="colorScale" priority="1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0">
    <cfRule type="colorScale" priority="1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0">
    <cfRule type="colorScale" priority="1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0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0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0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0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0">
    <cfRule type="colorScale" priority="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">
    <cfRule type="colorScale" priority="1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">
    <cfRule type="colorScale" priority="1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30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1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1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1"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1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1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1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1">
    <cfRule type="colorScale" priority="1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1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1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1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1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1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1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1">
    <cfRule type="colorScale" priority="1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3:AT34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3:AT34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3:AT34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3:AT34">
    <cfRule type="colorScale" priority="1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3:AT34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3:AT34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3:AT34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3:AT34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3:AT34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3:AT34">
    <cfRule type="colorScale" priority="1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3:AT34">
    <cfRule type="colorScale" priority="1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3:AT34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3:AT34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3:AT34">
    <cfRule type="colorScale" priority="1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31 AT33:AT34">
    <cfRule type="colorScale" priority="1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5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5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5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5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5">
    <cfRule type="colorScale" priority="1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5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5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5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5">
    <cfRule type="colorScale" priority="1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5">
    <cfRule type="colorScale" priority="1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5">
    <cfRule type="colorScale" priority="1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5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5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5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5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31 AT33:AT35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6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6">
    <cfRule type="colorScale" priority="1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6">
    <cfRule type="colorScale" priority="1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6">
    <cfRule type="colorScale" priority="1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6">
    <cfRule type="colorScale" priority="1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6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6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6">
    <cfRule type="colorScale" priority="1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6">
    <cfRule type="colorScale" priority="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6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6">
    <cfRule type="colorScale" priority="1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6">
    <cfRule type="colorScale" priority="1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6">
    <cfRule type="colorScale" priority="1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6">
    <cfRule type="colorScale" priority="1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6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6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1 AT37">
    <cfRule type="colorScale" priority="1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7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7"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7">
    <cfRule type="colorScale" priority="1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7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7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7">
    <cfRule type="colorScale" priority="1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7">
    <cfRule type="colorScale" priority="1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7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7">
    <cfRule type="colorScale" priority="1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7">
    <cfRule type="colorScale" priority="1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7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7">
    <cfRule type="colorScale" priority="1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7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7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7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8">
    <cfRule type="colorScale" priority="1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8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8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8">
    <cfRule type="colorScale" priority="1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8">
    <cfRule type="colorScale" priority="1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8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8">
    <cfRule type="colorScale" priority="1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8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8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8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8">
    <cfRule type="colorScale" priority="1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8"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8">
    <cfRule type="colorScale" priority="1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8">
    <cfRule type="colorScale" priority="1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8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8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9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9">
    <cfRule type="colorScale" priority="1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9">
    <cfRule type="colorScale" priority="1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9">
    <cfRule type="colorScale" priority="1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9">
    <cfRule type="colorScale" priority="1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9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9">
    <cfRule type="colorScale" priority="1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9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9">
    <cfRule type="colorScale" priority="1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9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9">
    <cfRule type="colorScale" priority="1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9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9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9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9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9">
    <cfRule type="colorScale" priority="1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31 AT51 AT33:AT39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0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0"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0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0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0">
    <cfRule type="colorScale" priority="1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0">
    <cfRule type="colorScale" priority="1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0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0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0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0">
    <cfRule type="colorScale" priority="1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0">
    <cfRule type="colorScale" priority="1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0">
    <cfRule type="colorScale" priority="1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0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0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0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0">
    <cfRule type="colorScale" priority="1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0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1">
    <cfRule type="colorScale" priority="1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1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1">
    <cfRule type="colorScale" priority="1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1">
    <cfRule type="colorScale" priority="1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1">
    <cfRule type="colorScale" priority="1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1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1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1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1">
    <cfRule type="colorScale" priority="1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1">
    <cfRule type="colorScale" priority="1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1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1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1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1">
    <cfRule type="colorScale" priority="1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1">
    <cfRule type="colorScale" priority="1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1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1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31 AT51 AT43 AT33:AT41">
    <cfRule type="colorScale" priority="1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3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3">
    <cfRule type="colorScale" priority="1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3">
    <cfRule type="colorScale" priority="1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3">
    <cfRule type="colorScale" priority="1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3">
    <cfRule type="colorScale" priority="1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3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3"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3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3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3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3">
    <cfRule type="colorScale" priority="1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3">
    <cfRule type="colorScale" priority="1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3">
    <cfRule type="colorScale" priority="1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3">
    <cfRule type="colorScale" priority="1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3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3">
    <cfRule type="colorScale" priority="1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4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4"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4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4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4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4">
    <cfRule type="colorScale" priority="1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4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4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4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4"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4">
    <cfRule type="colorScale" priority="1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4">
    <cfRule type="colorScale" priority="1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4">
    <cfRule type="colorScale" priority="1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4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4"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4">
    <cfRule type="colorScale" priority="1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4">
    <cfRule type="colorScale" priority="1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4">
    <cfRule type="colorScale" priority="1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31 AT43:AT44 AT33:AT41 AT51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2">
    <cfRule type="colorScale" priority="1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2">
    <cfRule type="colorScale" priority="1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2">
    <cfRule type="colorScale" priority="1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2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2">
    <cfRule type="colorScale" priority="1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2">
    <cfRule type="colorScale" priority="1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2">
    <cfRule type="colorScale" priority="1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2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2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2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2">
    <cfRule type="colorScale" priority="1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2">
    <cfRule type="colorScale" priority="1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2">
    <cfRule type="colorScale" priority="1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2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2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2">
    <cfRule type="colorScale" priority="1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2">
    <cfRule type="colorScale" priority="1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2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2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31 AT33:AT44 AT51">
    <cfRule type="colorScale" priority="1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2">
    <cfRule type="colorScale" priority="1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2">
    <cfRule type="colorScale" priority="1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2">
    <cfRule type="colorScale" priority="1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2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2">
    <cfRule type="colorScale" priority="1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2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2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2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2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2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2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2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2">
    <cfRule type="colorScale" priority="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2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2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2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2">
    <cfRule type="colorScale" priority="1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2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2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2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5">
    <cfRule type="colorScale" priority="1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5">
    <cfRule type="colorScale" priority="1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5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5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5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5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5">
    <cfRule type="colorScale" priority="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5">
    <cfRule type="colorScale" priority="1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5">
    <cfRule type="colorScale" priority="1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5">
    <cfRule type="colorScale" priority="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5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5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5">
    <cfRule type="colorScale" priority="1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5">
    <cfRule type="colorScale" priority="1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5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5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5">
    <cfRule type="colorScale" priority="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5">
    <cfRule type="colorScale" priority="1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5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5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45 AT51">
    <cfRule type="colorScale" priority="1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6">
    <cfRule type="colorScale" priority="1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6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6">
    <cfRule type="colorScale" priority="1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6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6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6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6">
    <cfRule type="colorScale" priority="1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6">
    <cfRule type="colorScale" priority="1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6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6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6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6">
    <cfRule type="colorScale" priority="1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6">
    <cfRule type="colorScale" priority="1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6">
    <cfRule type="colorScale" priority="1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6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6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6">
    <cfRule type="colorScale" priority="1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6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6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6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6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46 AT51">
    <cfRule type="colorScale" priority="1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7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7">
    <cfRule type="colorScale" priority="1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7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7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7">
    <cfRule type="colorScale" priority="1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7">
    <cfRule type="colorScale" priority="1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7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7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7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7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7">
    <cfRule type="colorScale" priority="1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7">
    <cfRule type="colorScale" priority="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7">
    <cfRule type="colorScale" priority="1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7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7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7">
    <cfRule type="colorScale" priority="1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7">
    <cfRule type="colorScale" priority="1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7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7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7">
    <cfRule type="colorScale" priority="1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7">
    <cfRule type="colorScale" priority="1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7">
    <cfRule type="colorScale" priority="1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47 AT51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8">
    <cfRule type="colorScale" priority="1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8">
    <cfRule type="colorScale" priority="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8">
    <cfRule type="colorScale" priority="1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8">
    <cfRule type="colorScale" priority="1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8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8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8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8">
    <cfRule type="colorScale" priority="1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8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8">
    <cfRule type="colorScale" priority="1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8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8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8">
    <cfRule type="colorScale" priority="1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8">
    <cfRule type="colorScale" priority="1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8">
    <cfRule type="colorScale" priority="1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8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8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8">
    <cfRule type="colorScale" priority="1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8">
    <cfRule type="colorScale" priority="1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8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8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8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8">
    <cfRule type="colorScale" priority="1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48 AT51">
    <cfRule type="colorScale" priority="1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9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9">
    <cfRule type="colorScale" priority="1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9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9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9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9">
    <cfRule type="colorScale" priority="1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9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9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9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9">
    <cfRule type="colorScale" priority="1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9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9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9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9">
    <cfRule type="colorScale" priority="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9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9">
    <cfRule type="colorScale" priority="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9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9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9">
    <cfRule type="colorScale" priority="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9">
    <cfRule type="colorScale" priority="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9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9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9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9">
    <cfRule type="colorScale" priority="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0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0">
    <cfRule type="colorScale" priority="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0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0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0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0">
    <cfRule type="colorScale" priority="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0">
    <cfRule type="colorScale" priority="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0">
    <cfRule type="colorScale" priority="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0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0">
    <cfRule type="colorScale" priority="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0">
    <cfRule type="colorScale" priority="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0">
    <cfRule type="colorScale" priority="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0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0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0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0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0">
    <cfRule type="colorScale" priority="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0">
    <cfRule type="colorScale" priority="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0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0">
    <cfRule type="colorScale" priority="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0">
    <cfRule type="colorScale" priority="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0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0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0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51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14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5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15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6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6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16">
    <cfRule type="colorScale" priority="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7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7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7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17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8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8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8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8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18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9">
    <cfRule type="colorScale" priority="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9">
    <cfRule type="colorScale" priority="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9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9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9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0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0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0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0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0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20">
    <cfRule type="colorScale" priority="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1">
    <cfRule type="colorScale" priority="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1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1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1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1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1">
    <cfRule type="colorScale" priority="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21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2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2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2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2">
    <cfRule type="colorScale" priority="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2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2">
    <cfRule type="colorScale" priority="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2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22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3">
    <cfRule type="colorScale" priority="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3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3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3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3"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3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3"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3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23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4:AU26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4:AU26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4:AU26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4:AU26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4:AU26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4:AU26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4:AU26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4:AU26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4:AU26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26">
    <cfRule type="colorScale" priority="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7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7">
    <cfRule type="colorScale" priority="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7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7">
    <cfRule type="colorScale" priority="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7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7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7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7"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7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7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27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8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8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8"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8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8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8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8">
    <cfRule type="colorScale" priority="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8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8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8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8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28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9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9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9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9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9">
    <cfRule type="colorScale" priority="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9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9"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9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9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9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9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9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29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0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0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0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0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0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0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0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0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0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0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0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0">
    <cfRule type="colorScale" priority="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0">
    <cfRule type="colorScale" priority="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8"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8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8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8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8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8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8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8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8">
    <cfRule type="colorScale" priority="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8">
    <cfRule type="colorScale" priority="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8">
    <cfRule type="colorScale" priority="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30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1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1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1">
    <cfRule type="colorScale" priority="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1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1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1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1">
    <cfRule type="colorScale" priority="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1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1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1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1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1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1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1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3:AU34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3:AU34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3:AU34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3:AU34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3:AU34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3:AU34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3:AU34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3:AU34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3:AU34">
    <cfRule type="colorScale" priority="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3:AU34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3:AU34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3:AU34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3:AU34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3:AU34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31 AU33:AU34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5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5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5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5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5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5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5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5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5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5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5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5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5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5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5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31 AU33:AU35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6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6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6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6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6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6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6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6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6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6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6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6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6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6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6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6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1 AU37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7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7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7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7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7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7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7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7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7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7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7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7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7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7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7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8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8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8"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8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8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8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8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8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8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8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8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8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8">
    <cfRule type="colorScale" priority="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8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8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8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9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9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9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9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9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9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9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9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9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9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9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9">
    <cfRule type="colorScale" priority="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9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9">
    <cfRule type="colorScale" priority="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9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9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31 AU51 AU33:AU39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0">
    <cfRule type="colorScale" priority="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0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0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0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0"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0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0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0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0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0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0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0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0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0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0">
    <cfRule type="colorScale" priority="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0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0">
    <cfRule type="colorScale" priority="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1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1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1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1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1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1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1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1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1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1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1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1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1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1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1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1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1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31 AU51 AU43 AU33:AU41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3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3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3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3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3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3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3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3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3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3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3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3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3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3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3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3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3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4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4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4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4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4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4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4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4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4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4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4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4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4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4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4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4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4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4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31 AU43:AU44 AU33:AU41 AU51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2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2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2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2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2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2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2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2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2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2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2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2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2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2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2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2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2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31 AU33:AU44 AU51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2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2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2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2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2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2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2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2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2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2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2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2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2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2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2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2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2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2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5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5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5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5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5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5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5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5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5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5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5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5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5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5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5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5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5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5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5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45 AU5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6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6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6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6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6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6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6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6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6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6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6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6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6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6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6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6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6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6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6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6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6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46 AU51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7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7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7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7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7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7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7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7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7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7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7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7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7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7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7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7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7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7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7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7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7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7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47 AU51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8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8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8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8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8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8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8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8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8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8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8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8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8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8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8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8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8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8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8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8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8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8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8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48 AU51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9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9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9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9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9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9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9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9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9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9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9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9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9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9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9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9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9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9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9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9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9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9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9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9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0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0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0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0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0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0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0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0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0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0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0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0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0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0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0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0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0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0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0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0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0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0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0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0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51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14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5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15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6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6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16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7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7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7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17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8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8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8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8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18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9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9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9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9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9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0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0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0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0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0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20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1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1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1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1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1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1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21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2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2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2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2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2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2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2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22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3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3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3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3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3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3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3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23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4:AV26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4:AV26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4:AV26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4:AV26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4:AV26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4:AV26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4:AV26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4:AV26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4:AV26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26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7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7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7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7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7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7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7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7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7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27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8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8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8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8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8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8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8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8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8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8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8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28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9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9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9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9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9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9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9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9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9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9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9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9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29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0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0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0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0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0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0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0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0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0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0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0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0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0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8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8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8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8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8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8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8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8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8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8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8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30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1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1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1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1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1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1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1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1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1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1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1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1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1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1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3:AV34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3:AV34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3:AV34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3:AV34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3:AV34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3:AV34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3:AV34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3:AV34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3:AV34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3:AV34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3:AV34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3:AV34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3:AV34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3:AV34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31 AV33:AV34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5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5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5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5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5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5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5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5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5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5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5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5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5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5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5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31 AV33:AV35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6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6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6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6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6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6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6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6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6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6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6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6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6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6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6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1 AV37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7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7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7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7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7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7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7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7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7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7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7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7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7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7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7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8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8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8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8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8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8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8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8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8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8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8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8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8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8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8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8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9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9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9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9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9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9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9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9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9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9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9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9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9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9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9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31 AV51 AV33:AV39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0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0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0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0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0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0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0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0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0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0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0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0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0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0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0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0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0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1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1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1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1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1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1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1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1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1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1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1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1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1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1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1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1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31 AV51 AV43 AV33:AV41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3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3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3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3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3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3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3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3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3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3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3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3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3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3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3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3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3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4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4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4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4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4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4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4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4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4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4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4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4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4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4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4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31 AV43:AV44 AV33:AV41 AV51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2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2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2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2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2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2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2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2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2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2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2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2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2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2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31 AV33:AV44 AV51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2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2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2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2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2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2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2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2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2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2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5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5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5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5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5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5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5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5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5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5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5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5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5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5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5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5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5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5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5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5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45 AV51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6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6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6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6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6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6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6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6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6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6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6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6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6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6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6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6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46 AV51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7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7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7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7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7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7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7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7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47 AV5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48 AV5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39"/>
  <sheetViews>
    <sheetView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D5" sqref="D5"/>
    </sheetView>
  </sheetViews>
  <sheetFormatPr baseColWidth="10" defaultColWidth="11.1640625" defaultRowHeight="16" x14ac:dyDescent="0.2"/>
  <cols>
    <col min="1" max="1" width="4.6640625" style="65" customWidth="1"/>
    <col min="2" max="2" width="8.33203125" style="65" customWidth="1"/>
    <col min="3" max="3" width="13.1640625" style="65" customWidth="1"/>
    <col min="4" max="4" width="6.5" style="65" customWidth="1"/>
    <col min="5" max="5" width="8.5" style="65" customWidth="1"/>
    <col min="6" max="6" width="8.6640625" style="65" customWidth="1"/>
    <col min="7" max="7" width="9.83203125" style="65" customWidth="1"/>
    <col min="8" max="8" width="6.5" style="65" customWidth="1"/>
    <col min="9" max="9" width="5.83203125" style="65" customWidth="1"/>
    <col min="10" max="10" width="5" style="65" customWidth="1"/>
    <col min="11" max="11" width="6.1640625" style="65" customWidth="1"/>
    <col min="12" max="15" width="10.1640625" style="65" customWidth="1"/>
  </cols>
  <sheetData>
    <row r="1" spans="1:15" ht="16" customHeight="1" x14ac:dyDescent="0.2">
      <c r="A1" s="194" t="s">
        <v>21</v>
      </c>
      <c r="B1" s="194" t="s">
        <v>22</v>
      </c>
      <c r="C1" s="194" t="s">
        <v>24</v>
      </c>
      <c r="D1" s="194" t="s">
        <v>23</v>
      </c>
      <c r="E1" s="189" t="s">
        <v>85</v>
      </c>
      <c r="F1" s="189" t="s">
        <v>132</v>
      </c>
      <c r="G1" s="189" t="s">
        <v>134</v>
      </c>
      <c r="H1" s="194" t="s">
        <v>135</v>
      </c>
      <c r="I1" s="194"/>
      <c r="J1" s="194"/>
      <c r="K1" s="194" t="s">
        <v>79</v>
      </c>
      <c r="L1" s="194" t="s">
        <v>61</v>
      </c>
      <c r="M1" s="194"/>
      <c r="N1" s="194"/>
      <c r="O1" s="194"/>
    </row>
    <row r="2" spans="1:15" x14ac:dyDescent="0.2">
      <c r="A2" s="194"/>
      <c r="B2" s="194"/>
      <c r="C2" s="194"/>
      <c r="D2" s="194"/>
      <c r="E2" s="189"/>
      <c r="F2" s="189"/>
      <c r="G2" s="189"/>
      <c r="H2" s="65" t="s">
        <v>13</v>
      </c>
      <c r="I2" s="65" t="s">
        <v>43</v>
      </c>
      <c r="J2" s="65" t="s">
        <v>72</v>
      </c>
      <c r="K2" s="194"/>
      <c r="L2" s="65" t="s">
        <v>2</v>
      </c>
      <c r="M2" s="65" t="s">
        <v>3</v>
      </c>
      <c r="N2" s="65" t="s">
        <v>4</v>
      </c>
      <c r="O2" s="65" t="s">
        <v>5</v>
      </c>
    </row>
    <row r="3" spans="1:15" x14ac:dyDescent="0.2">
      <c r="A3" s="65">
        <f>Ranking!A3</f>
        <v>1</v>
      </c>
      <c r="B3" s="65" t="str">
        <f>Ranking!D3</f>
        <v>Djokovic</v>
      </c>
      <c r="C3" s="65" t="str">
        <f>Ranking!E3</f>
        <v>Serbia</v>
      </c>
      <c r="D3" s="65">
        <f>Ranking!F3</f>
        <v>20812</v>
      </c>
      <c r="E3" s="32">
        <f>Ranking!BG3</f>
        <v>19013.248645832089</v>
      </c>
      <c r="F3" s="32">
        <f>Ranking!BN3</f>
        <v>20077.054719404045</v>
      </c>
      <c r="G3" s="32">
        <f>Ranking!BR3</f>
        <v>19681.492874812266</v>
      </c>
      <c r="H3" s="12">
        <f>Ranking!M3</f>
        <v>1095.3684210526317</v>
      </c>
      <c r="I3" s="12">
        <f>Ranking!N3</f>
        <v>293.12676056338029</v>
      </c>
      <c r="J3" s="12">
        <f>Ranking!O3</f>
        <v>58.460674157303373</v>
      </c>
      <c r="K3" s="45">
        <f>Ranking!I3</f>
        <v>0.88118811881188119</v>
      </c>
      <c r="L3" s="32">
        <f>Ranking!AF3</f>
        <v>295.78947368421052</v>
      </c>
      <c r="M3" s="32">
        <f>Ranking!AG3</f>
        <v>245.45</v>
      </c>
      <c r="N3" s="32">
        <f>Ranking!AH3</f>
        <v>297.38888888888891</v>
      </c>
      <c r="O3" s="32">
        <f>Ranking!AI3</f>
        <v>290</v>
      </c>
    </row>
    <row r="4" spans="1:15" x14ac:dyDescent="0.2">
      <c r="A4" s="137">
        <f>Ranking!A4</f>
        <v>2</v>
      </c>
      <c r="B4" s="137" t="str">
        <f>Ranking!D4</f>
        <v>Federer</v>
      </c>
      <c r="C4" s="137" t="str">
        <f>Ranking!E4</f>
        <v>Switzerland</v>
      </c>
      <c r="D4" s="137">
        <f>Ranking!F4</f>
        <v>19869</v>
      </c>
      <c r="E4" s="32">
        <f>Ranking!BG4</f>
        <v>18432.774683989486</v>
      </c>
      <c r="F4" s="32">
        <f>Ranking!BN4</f>
        <v>19278.970613644833</v>
      </c>
      <c r="G4" s="32">
        <f>Ranking!BR4</f>
        <v>19843.625198044585</v>
      </c>
      <c r="H4" s="12">
        <f>Ranking!M4</f>
        <v>863.86956521739125</v>
      </c>
      <c r="I4" s="12">
        <f>Ranking!N4</f>
        <v>251.50632911392404</v>
      </c>
      <c r="J4" s="12">
        <f>Ranking!O4</f>
        <v>54.286885245901637</v>
      </c>
      <c r="K4" s="45">
        <f>Ranking!I4</f>
        <v>0.86117647058823532</v>
      </c>
      <c r="L4" s="32">
        <f>Ranking!AF4</f>
        <v>270.66666666666669</v>
      </c>
      <c r="M4" s="32">
        <f>Ranking!AG4</f>
        <v>164.94736842105263</v>
      </c>
      <c r="N4" s="32">
        <f>Ranking!AH4</f>
        <v>293.90909090909093</v>
      </c>
      <c r="O4" s="32">
        <f>Ranking!AI4</f>
        <v>241.31578947368422</v>
      </c>
    </row>
    <row r="5" spans="1:15" x14ac:dyDescent="0.2">
      <c r="A5" s="137">
        <f>Ranking!A5</f>
        <v>3</v>
      </c>
      <c r="B5" s="137" t="str">
        <f>Ranking!D5</f>
        <v>Nadal</v>
      </c>
      <c r="C5" s="137" t="str">
        <f>Ranking!E5</f>
        <v>Spain</v>
      </c>
      <c r="D5" s="137">
        <f>Ranking!F5</f>
        <v>16489</v>
      </c>
      <c r="E5" s="32">
        <f>Ranking!BG5</f>
        <v>16324.365796896296</v>
      </c>
      <c r="F5" s="32">
        <f>Ranking!BN5</f>
        <v>15773.172564053424</v>
      </c>
      <c r="G5" s="32">
        <f>Ranking!BR5</f>
        <v>16783.665674235064</v>
      </c>
      <c r="H5" s="12">
        <f>Ranking!M5</f>
        <v>785.19047619047615</v>
      </c>
      <c r="I5" s="12">
        <f>Ranking!N5</f>
        <v>246.1044776119403</v>
      </c>
      <c r="J5" s="12">
        <f>Ranking!O5</f>
        <v>52.346031746031748</v>
      </c>
      <c r="K5" s="45">
        <f>Ranking!I5</f>
        <v>0.875</v>
      </c>
      <c r="L5" s="32">
        <f>Ranking!AF5</f>
        <v>220.77777777777777</v>
      </c>
      <c r="M5" s="32">
        <f>Ranking!AG5</f>
        <v>374.89473684210526</v>
      </c>
      <c r="N5" s="32">
        <f>Ranking!AH5</f>
        <v>168.46666666666667</v>
      </c>
      <c r="O5" s="32">
        <f>Ranking!AI5</f>
        <v>179.0625</v>
      </c>
    </row>
    <row r="6" spans="1:15" x14ac:dyDescent="0.2">
      <c r="A6" s="137">
        <f>Ranking!A6</f>
        <v>4</v>
      </c>
      <c r="B6" s="137" t="str">
        <f>Ranking!D6</f>
        <v>Connors</v>
      </c>
      <c r="C6" s="137" t="str">
        <f>Ranking!E6</f>
        <v>USA</v>
      </c>
      <c r="D6" s="137">
        <f>Ranking!F6</f>
        <v>10870</v>
      </c>
      <c r="E6" s="32">
        <f>Ranking!BG6</f>
        <v>11562.408321720948</v>
      </c>
      <c r="F6" s="32">
        <f>Ranking!BN6</f>
        <v>11506.922208396083</v>
      </c>
      <c r="G6" s="32">
        <f>Ranking!BR6</f>
        <v>10792.225198044585</v>
      </c>
      <c r="H6" s="12">
        <f>Ranking!M6</f>
        <v>472.60869565217394</v>
      </c>
      <c r="I6" s="12">
        <f>Ranking!N6</f>
        <v>190.7017543859649</v>
      </c>
      <c r="J6" s="12">
        <f>Ranking!O6</f>
        <v>46.255319148936174</v>
      </c>
      <c r="K6" s="45">
        <f>Ranking!I6</f>
        <v>0.82746478873239437</v>
      </c>
      <c r="L6" s="32">
        <f>Ranking!AF6</f>
        <v>200.5</v>
      </c>
      <c r="M6" s="32">
        <f>Ranking!AG6</f>
        <v>108.07692307692308</v>
      </c>
      <c r="N6" s="32">
        <f>Ranking!AH6</f>
        <v>193.2</v>
      </c>
      <c r="O6" s="32">
        <f>Ranking!AI6</f>
        <v>236.36363636363637</v>
      </c>
    </row>
    <row r="7" spans="1:15" x14ac:dyDescent="0.2">
      <c r="A7" s="137">
        <f>Ranking!A7</f>
        <v>5</v>
      </c>
      <c r="B7" s="137" t="str">
        <f>Ranking!D7</f>
        <v>Lendl</v>
      </c>
      <c r="C7" s="137" t="str">
        <f>Ranking!E7</f>
        <v>Czechoslovakia</v>
      </c>
      <c r="D7" s="137">
        <f>Ranking!F7</f>
        <v>10423</v>
      </c>
      <c r="E7" s="32">
        <f>Ranking!BG7</f>
        <v>10731.158799459665</v>
      </c>
      <c r="F7" s="32">
        <f>Ranking!BN7</f>
        <v>11059.922208396083</v>
      </c>
      <c r="G7" s="32">
        <f>Ranking!BR7</f>
        <v>10489.225198044585</v>
      </c>
      <c r="H7" s="12">
        <f>Ranking!M7</f>
        <v>613.11764705882354</v>
      </c>
      <c r="I7" s="12">
        <f>Ranking!N7</f>
        <v>182.85964912280701</v>
      </c>
      <c r="J7" s="12">
        <f>Ranking!O7</f>
        <v>46.119469026548671</v>
      </c>
      <c r="K7" s="45">
        <f>Ranking!I7</f>
        <v>0.82181818181818178</v>
      </c>
      <c r="L7" s="32">
        <f>Ranking!AF7</f>
        <v>197.08333333333334</v>
      </c>
      <c r="M7" s="32">
        <f>Ranking!AG7</f>
        <v>173.8</v>
      </c>
      <c r="N7" s="32">
        <f>Ranking!AH7</f>
        <v>99.785714285714292</v>
      </c>
      <c r="O7" s="32">
        <f>Ranking!AI7</f>
        <v>253.375</v>
      </c>
    </row>
    <row r="8" spans="1:15" x14ac:dyDescent="0.2">
      <c r="A8" s="137">
        <f>Ranking!A9</f>
        <v>6</v>
      </c>
      <c r="B8" s="137" t="str">
        <f>Ranking!D9</f>
        <v>Sampras</v>
      </c>
      <c r="C8" s="137" t="str">
        <f>Ranking!E9</f>
        <v>USA</v>
      </c>
      <c r="D8" s="137">
        <f>Ranking!F9</f>
        <v>9391</v>
      </c>
      <c r="E8" s="32">
        <f>Ranking!BG9</f>
        <v>10095.789610362219</v>
      </c>
      <c r="F8" s="32">
        <f>Ranking!BN9</f>
        <v>9799.9860868409378</v>
      </c>
      <c r="G8" s="32">
        <f>Ranking!BR9</f>
        <v>9813.2251980445853</v>
      </c>
      <c r="H8" s="12">
        <f>Ranking!M9</f>
        <v>626.06666666666672</v>
      </c>
      <c r="I8" s="12">
        <f>Ranking!N9</f>
        <v>180.59615384615384</v>
      </c>
      <c r="J8" s="12">
        <f>Ranking!O9</f>
        <v>46.261083743842363</v>
      </c>
      <c r="K8" s="45">
        <f>Ranking!I9</f>
        <v>0.84232365145228216</v>
      </c>
      <c r="L8" s="32">
        <f>Ranking!AF9</f>
        <v>184.54545454545453</v>
      </c>
      <c r="M8" s="32">
        <f>Ranking!AG9</f>
        <v>44.615384615384613</v>
      </c>
      <c r="N8" s="32">
        <f>Ranking!AH9</f>
        <v>214.71428571428572</v>
      </c>
      <c r="O8" s="32">
        <f>Ranking!AI9</f>
        <v>269.64285714285717</v>
      </c>
    </row>
    <row r="9" spans="1:15" x14ac:dyDescent="0.2">
      <c r="A9" s="137">
        <f>Ranking!A8</f>
        <v>7</v>
      </c>
      <c r="B9" s="137" t="str">
        <f>Ranking!D8</f>
        <v>Murray</v>
      </c>
      <c r="C9" s="137" t="str">
        <f>Ranking!E8</f>
        <v>UK</v>
      </c>
      <c r="D9" s="137">
        <f>Ranking!F8</f>
        <v>9334</v>
      </c>
      <c r="E9" s="32">
        <f>Ranking!BG8</f>
        <v>8112.5662337358153</v>
      </c>
      <c r="F9" s="32">
        <f>Ranking!BN8</f>
        <v>8665.9671756768657</v>
      </c>
      <c r="G9" s="32">
        <f>Ranking!BR8</f>
        <v>8702.2251980445853</v>
      </c>
      <c r="H9" s="12">
        <f>Ranking!M8</f>
        <v>491.26315789473682</v>
      </c>
      <c r="I9" s="12">
        <f>Ranking!N8</f>
        <v>163.75438596491227</v>
      </c>
      <c r="J9" s="12">
        <f>Ranking!O8</f>
        <v>46.904522613065325</v>
      </c>
      <c r="K9" s="45">
        <f>Ranking!I8</f>
        <v>0.7865612648221344</v>
      </c>
      <c r="L9" s="32">
        <f>Ranking!AF8</f>
        <v>139.875</v>
      </c>
      <c r="M9" s="32">
        <f>Ranking!AG8</f>
        <v>147.16666666666666</v>
      </c>
      <c r="N9" s="32">
        <f>Ranking!AH8</f>
        <v>220.6</v>
      </c>
      <c r="O9" s="32">
        <f>Ranking!AI8</f>
        <v>118.88235294117646</v>
      </c>
    </row>
    <row r="10" spans="1:15" x14ac:dyDescent="0.2">
      <c r="A10" s="137">
        <f>Ranking!A10</f>
        <v>8</v>
      </c>
      <c r="B10" s="137" t="str">
        <f>Ranking!D10</f>
        <v>Agassi</v>
      </c>
      <c r="C10" s="137" t="str">
        <f>Ranking!E10</f>
        <v>USA</v>
      </c>
      <c r="D10" s="137">
        <f>Ranking!F10</f>
        <v>8891</v>
      </c>
      <c r="E10" s="32">
        <f>Ranking!BG10</f>
        <v>10439.003470023916</v>
      </c>
      <c r="F10" s="32">
        <f>Ranking!BN10</f>
        <v>9211.183040494956</v>
      </c>
      <c r="G10" s="32">
        <f>Ranking!BR10</f>
        <v>9348.2251980445853</v>
      </c>
      <c r="H10" s="12">
        <f>Ranking!M10</f>
        <v>423.38095238095241</v>
      </c>
      <c r="I10" s="12">
        <f>Ranking!N10</f>
        <v>145.75409836065575</v>
      </c>
      <c r="J10" s="12">
        <f>Ranking!O10</f>
        <v>39.691964285714285</v>
      </c>
      <c r="K10" s="45">
        <f>Ranking!I10</f>
        <v>0.80866425992779778</v>
      </c>
      <c r="L10" s="32">
        <f>Ranking!AF10</f>
        <v>266.66666666666669</v>
      </c>
      <c r="M10" s="32">
        <f>Ranking!AG10</f>
        <v>89.235294117647058</v>
      </c>
      <c r="N10" s="32">
        <f>Ranking!AH10</f>
        <v>124.21428571428571</v>
      </c>
      <c r="O10" s="32">
        <f>Ranking!AI10</f>
        <v>154.04761904761904</v>
      </c>
    </row>
    <row r="11" spans="1:15" x14ac:dyDescent="0.2">
      <c r="A11" s="137">
        <f>Ranking!A11</f>
        <v>9</v>
      </c>
      <c r="B11" s="137" t="str">
        <f>Ranking!D11</f>
        <v>Borg</v>
      </c>
      <c r="C11" s="137" t="str">
        <f>Ranking!E11</f>
        <v>Sweden</v>
      </c>
      <c r="D11" s="137">
        <f>Ranking!F11</f>
        <v>7977</v>
      </c>
      <c r="E11" s="32">
        <f>Ranking!BG11</f>
        <v>7697.9052198371692</v>
      </c>
      <c r="F11" s="32">
        <f>Ranking!BN11</f>
        <v>8070.4876049931308</v>
      </c>
      <c r="G11" s="32">
        <f>Ranking!BR11</f>
        <v>7943.2251980445853</v>
      </c>
      <c r="H11" s="12">
        <f>Ranking!M11</f>
        <v>886.33333333333337</v>
      </c>
      <c r="I11" s="12">
        <f>Ranking!N11</f>
        <v>295.44444444444446</v>
      </c>
      <c r="J11" s="12">
        <f>Ranking!O11</f>
        <v>56.176056338028168</v>
      </c>
      <c r="K11" s="45">
        <f>Ranking!I11</f>
        <v>0.89873417721518989</v>
      </c>
      <c r="L11" s="32">
        <f>Ranking!AF11</f>
        <v>32</v>
      </c>
      <c r="M11" s="32">
        <f>Ranking!AG11</f>
        <v>337.5</v>
      </c>
      <c r="N11" s="32">
        <f>Ranking!AH11</f>
        <v>365.77777777777777</v>
      </c>
      <c r="O11" s="32">
        <f>Ranking!AI11</f>
        <v>217</v>
      </c>
    </row>
    <row r="12" spans="1:15" x14ac:dyDescent="0.2">
      <c r="A12" s="137">
        <f>Ranking!A12</f>
        <v>10</v>
      </c>
      <c r="B12" s="137" t="str">
        <f>Ranking!D12</f>
        <v>McEnroe</v>
      </c>
      <c r="C12" s="137" t="str">
        <f>Ranking!E12</f>
        <v>USA</v>
      </c>
      <c r="D12" s="137">
        <f>Ranking!F12</f>
        <v>7077</v>
      </c>
      <c r="E12" s="32">
        <f>Ranking!BG12</f>
        <v>7717.0787587734758</v>
      </c>
      <c r="F12" s="32">
        <f>Ranking!BN12</f>
        <v>7496.5483670349022</v>
      </c>
      <c r="G12" s="32">
        <f>Ranking!BR12</f>
        <v>7643.2251980445853</v>
      </c>
      <c r="H12" s="12">
        <f>Ranking!M12</f>
        <v>442.3125</v>
      </c>
      <c r="I12" s="12">
        <f>Ranking!N12</f>
        <v>157.26666666666668</v>
      </c>
      <c r="J12" s="12">
        <f>Ranking!O12</f>
        <v>41.629411764705885</v>
      </c>
      <c r="K12" s="45">
        <f>Ranking!I12</f>
        <v>0.81730769230769229</v>
      </c>
      <c r="L12" s="32">
        <f>Ranking!AF12</f>
        <v>113.6</v>
      </c>
      <c r="M12" s="32">
        <f>Ranking!AG12</f>
        <v>74.599999999999994</v>
      </c>
      <c r="N12" s="32">
        <f>Ranking!AH12</f>
        <v>189.28571428571428</v>
      </c>
      <c r="O12" s="32">
        <f>Ranking!AI12</f>
        <v>194.5625</v>
      </c>
    </row>
    <row r="13" spans="1:15" x14ac:dyDescent="0.2">
      <c r="A13" s="137">
        <f>Ranking!A13</f>
        <v>11</v>
      </c>
      <c r="B13" s="137" t="str">
        <f>Ranking!D13</f>
        <v>Becker</v>
      </c>
      <c r="C13" s="137" t="str">
        <f>Ranking!E13</f>
        <v>Germany</v>
      </c>
      <c r="D13" s="137">
        <f>Ranking!F13</f>
        <v>6740</v>
      </c>
      <c r="E13" s="32">
        <f>Ranking!BG13</f>
        <v>6974.4333890308717</v>
      </c>
      <c r="F13" s="32">
        <f>Ranking!BN13</f>
        <v>7177.6628538150007</v>
      </c>
      <c r="G13" s="32">
        <f>Ranking!BR13</f>
        <v>7000.2251980445853</v>
      </c>
      <c r="H13" s="12">
        <f>Ranking!M13</f>
        <v>421.25</v>
      </c>
      <c r="I13" s="12">
        <f>Ranking!N13</f>
        <v>146.52173913043478</v>
      </c>
      <c r="J13" s="12">
        <f>Ranking!O13</f>
        <v>40.848484848484851</v>
      </c>
      <c r="K13" s="45">
        <f>Ranking!I13</f>
        <v>0.80487804878048785</v>
      </c>
      <c r="L13" s="32">
        <f>Ranking!AF13</f>
        <v>80.36363636363636</v>
      </c>
      <c r="M13" s="32">
        <f>Ranking!AG13</f>
        <v>104.66666666666667</v>
      </c>
      <c r="N13" s="32">
        <f>Ranking!AH13</f>
        <v>241</v>
      </c>
      <c r="O13" s="32">
        <f>Ranking!AI13</f>
        <v>118.09090909090909</v>
      </c>
    </row>
    <row r="14" spans="1:15" x14ac:dyDescent="0.2">
      <c r="A14" s="137">
        <f>Ranking!A14</f>
        <v>12</v>
      </c>
      <c r="B14" s="137" t="str">
        <f>Ranking!D14</f>
        <v>Edberg</v>
      </c>
      <c r="C14" s="137" t="str">
        <f>Ranking!E14</f>
        <v>Sweden</v>
      </c>
      <c r="D14" s="137">
        <f>Ranking!F14</f>
        <v>6568</v>
      </c>
      <c r="E14" s="32">
        <f>Ranking!BG14</f>
        <v>7666.6330647640561</v>
      </c>
      <c r="F14" s="32">
        <f>Ranking!BN14</f>
        <v>7150.5787480557874</v>
      </c>
      <c r="G14" s="32">
        <f>Ranking!BR14</f>
        <v>6672.2251980445853</v>
      </c>
      <c r="H14" s="12">
        <f>Ranking!M14</f>
        <v>469.14285714285717</v>
      </c>
      <c r="I14" s="12">
        <f>Ranking!N14</f>
        <v>121.62962962962963</v>
      </c>
      <c r="J14" s="12">
        <f>Ranking!O14</f>
        <v>36.087912087912088</v>
      </c>
      <c r="K14" s="45">
        <f>Ranking!I14</f>
        <v>0.79130434782608694</v>
      </c>
      <c r="L14" s="32">
        <f>Ranking!AF14</f>
        <v>166.69230769230768</v>
      </c>
      <c r="M14" s="32">
        <f>Ranking!AG14</f>
        <v>73.15384615384616</v>
      </c>
      <c r="N14" s="32">
        <f>Ranking!AH14</f>
        <v>120.21428571428571</v>
      </c>
      <c r="O14" s="32">
        <f>Ranking!AI14</f>
        <v>126.21428571428571</v>
      </c>
    </row>
    <row r="15" spans="1:15" x14ac:dyDescent="0.2">
      <c r="A15" s="137">
        <f>Ranking!A15</f>
        <v>13</v>
      </c>
      <c r="B15" s="137" t="str">
        <f>Ranking!D15</f>
        <v>Wilander</v>
      </c>
      <c r="C15" s="137" t="str">
        <f>Ranking!E15</f>
        <v>Sweden</v>
      </c>
      <c r="D15" s="137">
        <f>Ranking!F15</f>
        <v>5919</v>
      </c>
      <c r="E15" s="32">
        <f>Ranking!BG15</f>
        <v>6412.3635225644848</v>
      </c>
      <c r="F15" s="32">
        <f>Ranking!BN15</f>
        <v>6320.4338802548036</v>
      </c>
      <c r="G15" s="32">
        <f>Ranking!BR15</f>
        <v>6170.2251980445853</v>
      </c>
      <c r="H15" s="12">
        <f>Ranking!M15</f>
        <v>369.9375</v>
      </c>
      <c r="I15" s="12">
        <f>Ranking!N15</f>
        <v>134.52272727272728</v>
      </c>
      <c r="J15" s="12">
        <f>Ranking!O15</f>
        <v>40.265306122448976</v>
      </c>
      <c r="K15" s="45">
        <f>Ranking!I15</f>
        <v>0.79891304347826086</v>
      </c>
      <c r="L15" s="32">
        <f>Ranking!AF15</f>
        <v>150.9</v>
      </c>
      <c r="M15" s="32">
        <f>Ranking!AG15</f>
        <v>206.83333333333334</v>
      </c>
      <c r="N15" s="32">
        <f>Ranking!AH15</f>
        <v>43.6</v>
      </c>
      <c r="O15" s="32">
        <f>Ranking!AI15</f>
        <v>124.33333333333333</v>
      </c>
    </row>
    <row r="16" spans="1:15" x14ac:dyDescent="0.2">
      <c r="A16" s="137">
        <f>Ranking!A16</f>
        <v>14</v>
      </c>
      <c r="B16" s="137" t="str">
        <f>Ranking!D16</f>
        <v>Wawrinka</v>
      </c>
      <c r="C16" s="137" t="str">
        <f>Ranking!E16</f>
        <v>Switzerland</v>
      </c>
      <c r="D16" s="137">
        <f>Ranking!F16</f>
        <v>5084</v>
      </c>
      <c r="E16" s="32">
        <f>Ranking!BG16</f>
        <v>4635.7205409097514</v>
      </c>
      <c r="F16" s="32">
        <f>Ranking!BN16</f>
        <v>4363.3931028910793</v>
      </c>
      <c r="G16" s="32">
        <f>Ranking!BR16</f>
        <v>4768.0823409017285</v>
      </c>
      <c r="H16" s="12">
        <f>Ranking!M16</f>
        <v>267.57894736842104</v>
      </c>
      <c r="I16" s="12">
        <f>Ranking!N16</f>
        <v>74.764705882352942</v>
      </c>
      <c r="J16" s="12">
        <f>Ranking!O16</f>
        <v>32.177215189873415</v>
      </c>
      <c r="K16" s="45">
        <f>Ranking!I16</f>
        <v>0.70852017937219736</v>
      </c>
      <c r="L16" s="32">
        <f>Ranking!AF16</f>
        <v>79.555555555555557</v>
      </c>
      <c r="M16" s="32">
        <f>Ranking!AG16</f>
        <v>92.736842105263165</v>
      </c>
      <c r="N16" s="32">
        <f>Ranking!AH16</f>
        <v>11</v>
      </c>
      <c r="O16" s="32">
        <f>Ranking!AI16</f>
        <v>106.4375</v>
      </c>
    </row>
    <row r="17" spans="1:15" x14ac:dyDescent="0.2">
      <c r="A17" s="137">
        <f>Ranking!A17</f>
        <v>15</v>
      </c>
      <c r="B17" s="137" t="str">
        <f>Ranking!D17</f>
        <v>Rosewall</v>
      </c>
      <c r="C17" s="137" t="str">
        <f>Ranking!E17</f>
        <v>Australia</v>
      </c>
      <c r="D17" s="137">
        <f>Ranking!F17</f>
        <v>4851</v>
      </c>
      <c r="E17" s="32">
        <f>Ranking!BG17</f>
        <v>4781.6976643366888</v>
      </c>
      <c r="F17" s="32">
        <f>Ranking!BN17</f>
        <v>4872.0296578727384</v>
      </c>
      <c r="G17" s="32">
        <f>Ranking!BR17</f>
        <v>4580.2251980445853</v>
      </c>
      <c r="H17" s="12">
        <f>Ranking!M17</f>
        <v>441</v>
      </c>
      <c r="I17" s="12">
        <f>Ranking!N17</f>
        <v>210.91304347826087</v>
      </c>
      <c r="J17" s="12">
        <f>Ranking!O17</f>
        <v>48.029702970297031</v>
      </c>
      <c r="K17" s="45">
        <f>Ranking!I17</f>
        <v>0.84166666666666667</v>
      </c>
      <c r="L17" s="32">
        <f>Ranking!AF17</f>
        <v>152.125</v>
      </c>
      <c r="M17" s="32">
        <f>Ranking!AG17</f>
        <v>434.5</v>
      </c>
      <c r="N17" s="32">
        <f>Ranking!AH17</f>
        <v>192</v>
      </c>
      <c r="O17" s="32">
        <f>Ranking!AI17</f>
        <v>230.42857142857142</v>
      </c>
    </row>
    <row r="18" spans="1:15" x14ac:dyDescent="0.2">
      <c r="A18" s="137">
        <f>Ranking!A18</f>
        <v>16</v>
      </c>
      <c r="B18" s="137" t="str">
        <f>Ranking!D18</f>
        <v>Newcombe</v>
      </c>
      <c r="C18" s="137" t="str">
        <f>Ranking!E18</f>
        <v>Australia</v>
      </c>
      <c r="D18" s="137">
        <f>Ranking!F18</f>
        <v>4843</v>
      </c>
      <c r="E18" s="32">
        <f>Ranking!BG18</f>
        <v>4997.9231788946427</v>
      </c>
      <c r="F18" s="32">
        <f>Ranking!BN18</f>
        <v>4918.3731182130332</v>
      </c>
      <c r="G18" s="32">
        <f>Ranking!BR18</f>
        <v>4777.2251980445853</v>
      </c>
      <c r="H18" s="12">
        <f>Ranking!M18</f>
        <v>440.27272727272725</v>
      </c>
      <c r="I18" s="12">
        <f>Ranking!N18</f>
        <v>186.26923076923077</v>
      </c>
      <c r="J18" s="12">
        <f>Ranking!O18</f>
        <v>45.688679245283019</v>
      </c>
      <c r="K18" s="45">
        <f>Ranking!I18</f>
        <v>0.83464566929133854</v>
      </c>
      <c r="L18" s="32">
        <f>Ranking!AF18</f>
        <v>206.11111111111111</v>
      </c>
      <c r="M18" s="32">
        <f>Ranking!AG18</f>
        <v>31.666666666666668</v>
      </c>
      <c r="N18" s="32">
        <f>Ranking!AH18</f>
        <v>227.85714285714286</v>
      </c>
      <c r="O18" s="32">
        <f>Ranking!AI18</f>
        <v>185.42857142857142</v>
      </c>
    </row>
    <row r="19" spans="1:15" x14ac:dyDescent="0.2">
      <c r="A19" s="137">
        <f>Ranking!A19</f>
        <v>17</v>
      </c>
      <c r="B19" s="137" t="str">
        <f>Ranking!D19</f>
        <v>Hewitt</v>
      </c>
      <c r="C19" s="137" t="str">
        <f>Ranking!E19</f>
        <v>Australia</v>
      </c>
      <c r="D19" s="137">
        <f>Ranking!F19</f>
        <v>4809</v>
      </c>
      <c r="E19" s="32">
        <f>Ranking!BG19</f>
        <v>3986.0446376090781</v>
      </c>
      <c r="F19" s="32">
        <f>Ranking!BN19</f>
        <v>4372.6794005250758</v>
      </c>
      <c r="G19" s="32">
        <f>Ranking!BR19</f>
        <v>4209.2251980445853</v>
      </c>
      <c r="H19" s="12">
        <f>Ranking!M19</f>
        <v>343.5</v>
      </c>
      <c r="I19" s="12">
        <f>Ranking!N19</f>
        <v>72.86363636363636</v>
      </c>
      <c r="J19" s="12">
        <f>Ranking!O19</f>
        <v>32.493243243243242</v>
      </c>
      <c r="K19" s="45">
        <f>Ranking!I19</f>
        <v>0.69811320754716977</v>
      </c>
      <c r="L19" s="32">
        <f>Ranking!AF19</f>
        <v>38.1</v>
      </c>
      <c r="M19" s="32">
        <f>Ranking!AG19</f>
        <v>46.428571428571431</v>
      </c>
      <c r="N19" s="32">
        <f>Ranking!AH19</f>
        <v>80.82352941176471</v>
      </c>
      <c r="O19" s="32">
        <f>Ranking!AI19</f>
        <v>134.86666666666667</v>
      </c>
    </row>
    <row r="20" spans="1:15" x14ac:dyDescent="0.2">
      <c r="A20" s="137">
        <f>Ranking!A20</f>
        <v>18</v>
      </c>
      <c r="B20" s="137" t="str">
        <f>Ranking!D20</f>
        <v>Ashe</v>
      </c>
      <c r="C20" s="137" t="str">
        <f>Ranking!E20</f>
        <v>USA</v>
      </c>
      <c r="D20" s="137">
        <f>Ranking!F20</f>
        <v>4645</v>
      </c>
      <c r="E20" s="32">
        <f>Ranking!BG20</f>
        <v>4140.6539935051096</v>
      </c>
      <c r="F20" s="32">
        <f>Ranking!BN20</f>
        <v>4810.9455521135251</v>
      </c>
      <c r="G20" s="32">
        <f>Ranking!BR20</f>
        <v>4992.2251980445853</v>
      </c>
      <c r="H20" s="12">
        <f>Ranking!M20</f>
        <v>387.08333333333331</v>
      </c>
      <c r="I20" s="12">
        <f>Ranking!N20</f>
        <v>149.83870967741936</v>
      </c>
      <c r="J20" s="12">
        <f>Ranking!O20</f>
        <v>40.745614035087719</v>
      </c>
      <c r="K20" s="45">
        <f>Ranking!I20</f>
        <v>0.80281690140845074</v>
      </c>
      <c r="L20" s="32">
        <f>Ranking!AF20</f>
        <v>257.75</v>
      </c>
      <c r="M20" s="32">
        <f>Ranking!AG20</f>
        <v>85.875</v>
      </c>
      <c r="N20" s="32">
        <f>Ranking!AH20</f>
        <v>113.22222222222223</v>
      </c>
      <c r="O20" s="32">
        <f>Ranking!AI20</f>
        <v>190.8</v>
      </c>
    </row>
    <row r="21" spans="1:15" x14ac:dyDescent="0.2">
      <c r="A21" s="137">
        <f>Ranking!A21</f>
        <v>19</v>
      </c>
      <c r="B21" s="137" t="str">
        <f>Ranking!D21</f>
        <v>Vilas</v>
      </c>
      <c r="C21" s="137" t="str">
        <f>Ranking!E21</f>
        <v>Argentina</v>
      </c>
      <c r="D21" s="137">
        <f>Ranking!F21</f>
        <v>4421</v>
      </c>
      <c r="E21" s="32">
        <f>Ranking!BG21</f>
        <v>5464.8940021046265</v>
      </c>
      <c r="F21" s="32">
        <f>Ranking!BN21</f>
        <v>4913.0063141552955</v>
      </c>
      <c r="G21" s="32">
        <f>Ranking!BR21</f>
        <v>4463.2251980445853</v>
      </c>
      <c r="H21" s="12">
        <f>Ranking!M21</f>
        <v>221.05</v>
      </c>
      <c r="I21" s="12">
        <f>Ranking!N21</f>
        <v>90.224489795918373</v>
      </c>
      <c r="J21" s="12">
        <f>Ranking!O21</f>
        <v>31.133802816901408</v>
      </c>
      <c r="K21" s="45">
        <f>Ranking!I21</f>
        <v>0.75935828877005351</v>
      </c>
      <c r="L21" s="32">
        <f>Ranking!AF21</f>
        <v>236.4</v>
      </c>
      <c r="M21" s="32">
        <f>Ranking!AG21</f>
        <v>120.55555555555556</v>
      </c>
      <c r="N21" s="32">
        <f>Ranking!AH21</f>
        <v>2.5454545454545454</v>
      </c>
      <c r="O21" s="32">
        <f>Ranking!AI21</f>
        <v>69.400000000000006</v>
      </c>
    </row>
    <row r="22" spans="1:15" x14ac:dyDescent="0.2">
      <c r="A22" s="137">
        <f>Ranking!A22</f>
        <v>20</v>
      </c>
      <c r="B22" s="137" t="str">
        <f>Ranking!D22</f>
        <v>Roddick</v>
      </c>
      <c r="C22" s="137" t="str">
        <f>Ranking!E22</f>
        <v>USA</v>
      </c>
      <c r="D22" s="137">
        <f>Ranking!F22</f>
        <v>4240</v>
      </c>
      <c r="E22" s="32">
        <f>Ranking!BG22</f>
        <v>4612.5848055661318</v>
      </c>
      <c r="F22" s="32">
        <f>Ranking!BN22</f>
        <v>3670.3291443475346</v>
      </c>
      <c r="G22" s="32">
        <f>Ranking!BR22</f>
        <v>4468.2251980445853</v>
      </c>
      <c r="H22" s="12">
        <f>Ranking!M22</f>
        <v>326.15384615384613</v>
      </c>
      <c r="I22" s="12">
        <f>Ranking!N22</f>
        <v>92.173913043478265</v>
      </c>
      <c r="J22" s="12">
        <f>Ranking!O22</f>
        <v>32.36641221374046</v>
      </c>
      <c r="K22" s="45">
        <f>Ranking!I22</f>
        <v>0.74431818181818177</v>
      </c>
      <c r="L22" s="32">
        <f>Ranking!AF22</f>
        <v>122</v>
      </c>
      <c r="M22" s="32">
        <f>Ranking!AG22</f>
        <v>-48.5</v>
      </c>
      <c r="N22" s="32">
        <f>Ranking!AH22</f>
        <v>126.75</v>
      </c>
      <c r="O22" s="32">
        <f>Ranking!AI22</f>
        <v>143.23076923076923</v>
      </c>
    </row>
    <row r="23" spans="1:15" x14ac:dyDescent="0.2">
      <c r="A23" s="137">
        <f>Ranking!A23</f>
        <v>21</v>
      </c>
      <c r="B23" s="137" t="str">
        <f>Ranking!D23</f>
        <v>Courier</v>
      </c>
      <c r="C23" s="137" t="str">
        <f>Ranking!E23</f>
        <v>USA</v>
      </c>
      <c r="D23" s="137">
        <f>Ranking!F23</f>
        <v>4149</v>
      </c>
      <c r="E23" s="32">
        <f>Ranking!BG23</f>
        <v>4631.1455082859102</v>
      </c>
      <c r="F23" s="32">
        <f>Ranking!BN23</f>
        <v>4514.2049066946065</v>
      </c>
      <c r="G23" s="32">
        <f>Ranking!BR23</f>
        <v>4569.2251980445853</v>
      </c>
      <c r="H23" s="12">
        <f>Ranking!M23</f>
        <v>319.15384615384613</v>
      </c>
      <c r="I23" s="12">
        <f>Ranking!N23</f>
        <v>98.785714285714292</v>
      </c>
      <c r="J23" s="12">
        <f>Ranking!O23</f>
        <v>34.865546218487395</v>
      </c>
      <c r="K23" s="45">
        <f>Ranking!I23</f>
        <v>0.7579617834394905</v>
      </c>
      <c r="L23" s="32">
        <f>Ranking!AF23</f>
        <v>146.69999999999999</v>
      </c>
      <c r="M23" s="32">
        <f>Ranking!AG23</f>
        <v>153.81818181818181</v>
      </c>
      <c r="N23" s="32">
        <f>Ranking!AH23</f>
        <v>1.8181818181818181</v>
      </c>
      <c r="O23" s="32">
        <f>Ranking!AI23</f>
        <v>97</v>
      </c>
    </row>
    <row r="24" spans="1:15" x14ac:dyDescent="0.2">
      <c r="A24" s="137">
        <f>Ranking!A26</f>
        <v>24</v>
      </c>
      <c r="B24" s="137" t="str">
        <f>Ranking!D26</f>
        <v>Laver</v>
      </c>
      <c r="C24" s="137" t="str">
        <f>Ranking!E26</f>
        <v>Australia</v>
      </c>
      <c r="D24" s="137">
        <f>Ranking!F26</f>
        <v>3706</v>
      </c>
      <c r="E24" s="32">
        <f>Ranking!BG26</f>
        <v>2855.0164532431077</v>
      </c>
      <c r="F24" s="32">
        <f>Ranking!BN26</f>
        <v>3582.1137636319518</v>
      </c>
      <c r="G24" s="32">
        <f>Ranking!BR26</f>
        <v>3514.2251980445858</v>
      </c>
      <c r="H24" s="12">
        <f>Ranking!M26</f>
        <v>370.6</v>
      </c>
      <c r="I24" s="12">
        <f>Ranking!N26</f>
        <v>247.06666666666666</v>
      </c>
      <c r="J24" s="12">
        <f>Ranking!O26</f>
        <v>57.015384615384619</v>
      </c>
      <c r="K24" s="45">
        <f>Ranking!I26</f>
        <v>0.8666666666666667</v>
      </c>
      <c r="L24" s="32">
        <f>Ranking!AF26</f>
        <v>275</v>
      </c>
      <c r="M24" s="32">
        <f>Ranking!AG26</f>
        <v>437.5</v>
      </c>
      <c r="N24" s="32">
        <f>Ranking!AH26</f>
        <v>256.39999999999998</v>
      </c>
      <c r="O24" s="32">
        <f>Ranking!AI26</f>
        <v>166.5</v>
      </c>
    </row>
    <row r="25" spans="1:15" x14ac:dyDescent="0.2">
      <c r="A25" s="137">
        <f>Ranking!A24</f>
        <v>22</v>
      </c>
      <c r="B25" s="137" t="str">
        <f>Ranking!D24</f>
        <v>Cilic</v>
      </c>
      <c r="C25" s="137" t="str">
        <f>Ranking!E24</f>
        <v>Croatia</v>
      </c>
      <c r="D25" s="137">
        <f>Ranking!F24</f>
        <v>3895</v>
      </c>
      <c r="E25" s="32">
        <f>Ranking!BG24</f>
        <v>3398.3016431670403</v>
      </c>
      <c r="F25" s="32">
        <f>Ranking!BN24</f>
        <v>3496.915089823829</v>
      </c>
      <c r="G25" s="32">
        <f>Ranking!BR24</f>
        <v>3505.2251980445858</v>
      </c>
      <c r="H25" s="12">
        <f>Ranking!M24</f>
        <v>243.4375</v>
      </c>
      <c r="I25" s="12">
        <f>Ranking!N24</f>
        <v>67.15517241379311</v>
      </c>
      <c r="J25" s="12">
        <f>Ranking!O24</f>
        <v>28.224637681159422</v>
      </c>
      <c r="K25" s="45">
        <f>Ranking!I24</f>
        <v>0.70769230769230773</v>
      </c>
      <c r="L25" s="32">
        <f>Ranking!AF24</f>
        <v>87.4</v>
      </c>
      <c r="M25" s="32">
        <f>Ranking!AG24</f>
        <v>32</v>
      </c>
      <c r="N25" s="32">
        <f>Ranking!AH24</f>
        <v>50.928571428571431</v>
      </c>
      <c r="O25" s="32">
        <f>Ranking!AI24</f>
        <v>97.071428571428569</v>
      </c>
    </row>
    <row r="26" spans="1:15" x14ac:dyDescent="0.2">
      <c r="A26" s="137">
        <f>Ranking!A25</f>
        <v>23</v>
      </c>
      <c r="B26" s="137" t="str">
        <f>Ranking!D25</f>
        <v>Del Potro</v>
      </c>
      <c r="C26" s="137" t="str">
        <f>Ranking!E25</f>
        <v>Argentina</v>
      </c>
      <c r="D26" s="137">
        <f>Ranking!F25</f>
        <v>3817</v>
      </c>
      <c r="E26" s="32">
        <f>Ranking!BG25</f>
        <v>2998.1101651961262</v>
      </c>
      <c r="F26" s="32">
        <f>Ranking!BN25</f>
        <v>3244.5563989237457</v>
      </c>
      <c r="G26" s="32">
        <f>Ranking!BR25</f>
        <v>3332.2251980445858</v>
      </c>
      <c r="H26" s="12">
        <f>Ranking!M25</f>
        <v>272.64285714285717</v>
      </c>
      <c r="I26" s="12">
        <f>Ranking!N25</f>
        <v>103.16216216216216</v>
      </c>
      <c r="J26" s="12">
        <f>Ranking!O25</f>
        <v>39.350515463917525</v>
      </c>
      <c r="K26" s="45">
        <f>Ranking!I25</f>
        <v>0.72932330827067671</v>
      </c>
      <c r="L26" s="32">
        <f>Ranking!AF25</f>
        <v>32.666666666666664</v>
      </c>
      <c r="M26" s="32">
        <f>Ranking!AG25</f>
        <v>106.77777777777777</v>
      </c>
      <c r="N26" s="32">
        <f>Ranking!AH25</f>
        <v>80.777777777777771</v>
      </c>
      <c r="O26" s="32">
        <f>Ranking!AI25</f>
        <v>183.5</v>
      </c>
    </row>
    <row r="27" spans="1:15" x14ac:dyDescent="0.2">
      <c r="A27" s="137">
        <f>Ranking!A27</f>
        <v>25</v>
      </c>
      <c r="B27" s="137" t="str">
        <f>Ranking!D27</f>
        <v>Smith</v>
      </c>
      <c r="C27" s="137" t="str">
        <f>Ranking!E27</f>
        <v>USA</v>
      </c>
      <c r="D27" s="137">
        <f>Ranking!F27</f>
        <v>3002</v>
      </c>
      <c r="E27" s="32">
        <f>Ranking!BG27</f>
        <v>2734.4760207506283</v>
      </c>
      <c r="F27" s="32">
        <f>Ranking!BN27</f>
        <v>3385.3193934747055</v>
      </c>
      <c r="G27" s="32">
        <f>Ranking!BR27</f>
        <v>3040.2251980445858</v>
      </c>
      <c r="H27" s="12">
        <f>Ranking!M27</f>
        <v>187.625</v>
      </c>
      <c r="I27" s="12">
        <f>Ranking!N27</f>
        <v>69.813953488372093</v>
      </c>
      <c r="J27" s="12">
        <f>Ranking!O27</f>
        <v>28.590476190476192</v>
      </c>
      <c r="K27" s="45">
        <f>Ranking!I27</f>
        <v>0.71917808219178081</v>
      </c>
      <c r="L27" s="32">
        <f>Ranking!AF27</f>
        <v>4.666666666666667</v>
      </c>
      <c r="M27" s="32">
        <f>Ranking!AG27</f>
        <v>63</v>
      </c>
      <c r="N27" s="32">
        <f>Ranking!AH27</f>
        <v>88.933333333333337</v>
      </c>
      <c r="O27" s="32">
        <f>Ranking!AI27</f>
        <v>67.9375</v>
      </c>
    </row>
    <row r="28" spans="1:15" x14ac:dyDescent="0.2">
      <c r="A28" s="137">
        <f>Ranking!A28</f>
        <v>26</v>
      </c>
      <c r="B28" s="137" t="str">
        <f>Ranking!D28</f>
        <v>Nastase</v>
      </c>
      <c r="C28" s="137" t="str">
        <f>Ranking!E28</f>
        <v>Romania</v>
      </c>
      <c r="D28" s="137">
        <f>Ranking!F28</f>
        <v>2885</v>
      </c>
      <c r="E28" s="32">
        <f>Ranking!BG28</f>
        <v>3338.334778413785</v>
      </c>
      <c r="F28" s="32">
        <f>Ranking!BN28</f>
        <v>3268.3193934747055</v>
      </c>
      <c r="G28" s="32">
        <f>Ranking!BR28</f>
        <v>2904.2251980445858</v>
      </c>
      <c r="H28" s="12">
        <f>Ranking!M28</f>
        <v>160.27777777777777</v>
      </c>
      <c r="I28" s="12">
        <f>Ranking!N28</f>
        <v>67.093023255813947</v>
      </c>
      <c r="J28" s="12">
        <f>Ranking!O28</f>
        <v>29.438775510204081</v>
      </c>
      <c r="K28" s="45">
        <f>Ranking!I28</f>
        <v>0.70503597122302153</v>
      </c>
      <c r="L28" s="32">
        <f>Ranking!AF28</f>
        <v>-11</v>
      </c>
      <c r="M28" s="32">
        <f>Ranking!AG28</f>
        <v>80.5</v>
      </c>
      <c r="N28" s="32">
        <f>Ranking!AH28</f>
        <v>66.230769230769226</v>
      </c>
      <c r="O28" s="32">
        <f>Ranking!AI28</f>
        <v>60.533333333333331</v>
      </c>
    </row>
    <row r="29" spans="1:15" x14ac:dyDescent="0.2">
      <c r="A29" s="137">
        <f>Ranking!A29</f>
        <v>28</v>
      </c>
      <c r="B29" s="137" t="str">
        <f>Ranking!D29</f>
        <v>Kodes</v>
      </c>
      <c r="C29" s="137" t="str">
        <f>Ranking!E29</f>
        <v>Czechoslovakia</v>
      </c>
      <c r="D29" s="137">
        <f>Ranking!F29</f>
        <v>2845</v>
      </c>
      <c r="E29" s="32">
        <f>Ranking!BG29</f>
        <v>3052.6674143502387</v>
      </c>
      <c r="F29" s="32">
        <f>Ranking!BN29</f>
        <v>2956.6020917732303</v>
      </c>
      <c r="G29" s="32">
        <f>Ranking!BR29</f>
        <v>3234.2251980445858</v>
      </c>
      <c r="H29" s="12">
        <f>Ranking!M29</f>
        <v>258.63636363636363</v>
      </c>
      <c r="I29" s="12">
        <f>Ranking!N29</f>
        <v>101.60714285714286</v>
      </c>
      <c r="J29" s="12">
        <f>Ranking!O29</f>
        <v>34.695121951219512</v>
      </c>
      <c r="K29" s="45">
        <f>Ranking!I29</f>
        <v>0.76635514018691586</v>
      </c>
      <c r="L29" s="32">
        <f>Ranking!AF29</f>
        <v>0</v>
      </c>
      <c r="M29" s="32">
        <f>Ranking!AG29</f>
        <v>152</v>
      </c>
      <c r="N29" s="32">
        <f>Ranking!AH29</f>
        <v>27.6</v>
      </c>
      <c r="O29" s="32">
        <f>Ranking!AI29</f>
        <v>131.125</v>
      </c>
    </row>
    <row r="30" spans="1:15" x14ac:dyDescent="0.2">
      <c r="A30" s="137">
        <f>Ranking!A36</f>
        <v>36</v>
      </c>
      <c r="B30" s="137" t="str">
        <f>Ranking!D36</f>
        <v>Gerulaitis</v>
      </c>
      <c r="C30" s="137" t="str">
        <f>Ranking!E36</f>
        <v>USA</v>
      </c>
      <c r="D30" s="137">
        <f>Ranking!F36</f>
        <v>2094</v>
      </c>
      <c r="E30" s="32">
        <f>Ranking!BG36</f>
        <v>2984.8493843551291</v>
      </c>
      <c r="F30" s="32">
        <f>Ranking!BN36</f>
        <v>2386.7469595742141</v>
      </c>
      <c r="G30" s="32">
        <f>Ranking!BR36</f>
        <v>2511.2251980445858</v>
      </c>
      <c r="H30" s="12">
        <f>Ranking!M36</f>
        <v>139.6</v>
      </c>
      <c r="I30" s="12">
        <f>Ranking!N36</f>
        <v>55.10526315789474</v>
      </c>
      <c r="J30" s="12">
        <f>Ranking!O36</f>
        <v>23.795454545454547</v>
      </c>
      <c r="K30" s="45">
        <f>Ranking!I36</f>
        <v>0.70399999999999996</v>
      </c>
      <c r="L30" s="32">
        <f>Ranking!AF36</f>
        <v>-2.25</v>
      </c>
      <c r="M30" s="32">
        <f>Ranking!AG36</f>
        <v>62.857142857142854</v>
      </c>
      <c r="N30" s="32">
        <f>Ranking!AH36</f>
        <v>72.166666666666671</v>
      </c>
      <c r="O30" s="32">
        <f>Ranking!AI36</f>
        <v>53.133333333333333</v>
      </c>
    </row>
    <row r="31" spans="1:15" x14ac:dyDescent="0.2">
      <c r="A31" s="137">
        <f>Ranking!A37</f>
        <v>32</v>
      </c>
      <c r="B31" s="137" t="str">
        <f>Ranking!D37</f>
        <v>Alcaraz</v>
      </c>
      <c r="C31" s="137" t="str">
        <f>Ranking!E37</f>
        <v>Spain</v>
      </c>
      <c r="D31" s="137">
        <f>Ranking!F37</f>
        <v>2637</v>
      </c>
      <c r="E31" s="32">
        <f>Ranking!BG37</f>
        <v>1498.4448932211255</v>
      </c>
      <c r="F31" s="32">
        <f>Ranking!BN37</f>
        <v>2216.4957982494784</v>
      </c>
      <c r="G31" s="32">
        <f>Ranking!BR37</f>
        <v>1713.2251980445858</v>
      </c>
      <c r="H31" s="12">
        <f>Ranking!M37</f>
        <v>879</v>
      </c>
      <c r="I31" s="12">
        <f>Ranking!N37</f>
        <v>263.7</v>
      </c>
      <c r="J31" s="12">
        <f>Ranking!O37</f>
        <v>73.25</v>
      </c>
      <c r="K31" s="45">
        <f>Ranking!I37</f>
        <v>0.81818181818181823</v>
      </c>
      <c r="L31" s="32">
        <f>Ranking!AF37</f>
        <v>20.666666666666668</v>
      </c>
      <c r="M31" s="32">
        <f>Ranking!AG37</f>
        <v>251.75</v>
      </c>
      <c r="N31" s="32">
        <f>Ranking!AH37</f>
        <v>199.33333333333334</v>
      </c>
      <c r="O31" s="32">
        <f>Ranking!AI37</f>
        <v>323.33333333333331</v>
      </c>
    </row>
    <row r="32" spans="1:15" x14ac:dyDescent="0.2">
      <c r="A32" s="137">
        <f>Ranking!A30</f>
        <v>29</v>
      </c>
      <c r="B32" s="137" t="str">
        <f>Ranking!D30</f>
        <v>Safin</v>
      </c>
      <c r="C32" s="137" t="str">
        <f>Ranking!E30</f>
        <v>Russia</v>
      </c>
      <c r="D32" s="137">
        <f>Ranking!F30</f>
        <v>2840</v>
      </c>
      <c r="E32" s="32">
        <f>Ranking!BG30</f>
        <v>2849.5102025196852</v>
      </c>
      <c r="F32" s="32">
        <f>Ranking!BN30</f>
        <v>2568.9538254685635</v>
      </c>
      <c r="G32" s="32">
        <f>Ranking!BR30</f>
        <v>2558.7251980445858</v>
      </c>
      <c r="H32" s="12">
        <f>Ranking!M30</f>
        <v>236.66666666666666</v>
      </c>
      <c r="I32" s="12">
        <f>Ranking!N30</f>
        <v>69.268292682926827</v>
      </c>
      <c r="J32" s="12">
        <f>Ranking!O30</f>
        <v>29.894736842105264</v>
      </c>
      <c r="K32" s="45">
        <f>Ranking!I30</f>
        <v>0.70895522388059706</v>
      </c>
      <c r="L32" s="32">
        <f>Ranking!AF30</f>
        <v>139.5</v>
      </c>
      <c r="M32" s="32">
        <f>Ranking!AG30</f>
        <v>63.727272727272727</v>
      </c>
      <c r="N32" s="32">
        <f>Ranking!AH30</f>
        <v>8.8000000000000007</v>
      </c>
      <c r="O32" s="32">
        <f>Ranking!AI30</f>
        <v>82.9</v>
      </c>
    </row>
    <row r="33" spans="1:15" x14ac:dyDescent="0.2">
      <c r="A33" s="137">
        <f>Ranking!A31</f>
        <v>30</v>
      </c>
      <c r="B33" s="137" t="str">
        <f>Ranking!D31</f>
        <v>Kafelnikov</v>
      </c>
      <c r="C33" s="137" t="str">
        <f>Ranking!E31</f>
        <v>Russia</v>
      </c>
      <c r="D33" s="137">
        <f>Ranking!F31</f>
        <v>2802</v>
      </c>
      <c r="E33" s="32">
        <f>Ranking!BG31</f>
        <v>3227.675386238072</v>
      </c>
      <c r="F33" s="32">
        <f>Ranking!BN31</f>
        <v>2499.5043130707113</v>
      </c>
      <c r="G33" s="32">
        <f>Ranking!BR31</f>
        <v>2743.2251980445858</v>
      </c>
      <c r="H33" s="12">
        <f>Ranking!M31</f>
        <v>254.72727272727272</v>
      </c>
      <c r="I33" s="12">
        <f>Ranking!N31</f>
        <v>73.736842105263165</v>
      </c>
      <c r="J33" s="12">
        <f>Ranking!O31</f>
        <v>28.303030303030305</v>
      </c>
      <c r="K33" s="45">
        <f>Ranking!I31</f>
        <v>0.73333333333333328</v>
      </c>
      <c r="L33" s="32">
        <f>Ranking!AF31</f>
        <v>140.25</v>
      </c>
      <c r="M33" s="32">
        <f>Ranking!AG31</f>
        <v>76.36363636363636</v>
      </c>
      <c r="N33" s="32">
        <f>Ranking!AH31</f>
        <v>7.6</v>
      </c>
      <c r="O33" s="32">
        <f>Ranking!AI31</f>
        <v>84.888888888888886</v>
      </c>
    </row>
    <row r="34" spans="1:15" x14ac:dyDescent="0.2">
      <c r="A34" s="137">
        <f>Ranking!A51</f>
        <v>49</v>
      </c>
      <c r="B34" s="137" t="str">
        <f>Ranking!D51</f>
        <v>Gaudio</v>
      </c>
      <c r="C34" s="137" t="str">
        <f>Ranking!E51</f>
        <v>Argentina</v>
      </c>
      <c r="D34" s="137">
        <f>Ranking!F51</f>
        <v>-142</v>
      </c>
      <c r="E34" s="32">
        <f>Ranking!BG51</f>
        <v>664.9824934414238</v>
      </c>
      <c r="F34" s="32">
        <f>Ranking!BN51</f>
        <v>-484.50076378255199</v>
      </c>
      <c r="G34" s="32">
        <f>Ranking!BR51</f>
        <v>-155.7748019554142</v>
      </c>
      <c r="H34" s="12">
        <f>Ranking!M51</f>
        <v>-14.2</v>
      </c>
      <c r="I34" s="12">
        <f>Ranking!N51</f>
        <v>-4.4375</v>
      </c>
      <c r="J34" s="12">
        <f>Ranking!O51</f>
        <v>-3.8378378378378377</v>
      </c>
      <c r="K34" s="45">
        <f>Ranking!I51</f>
        <v>0.54411764705882348</v>
      </c>
      <c r="L34" s="32">
        <f>Ranking!AF51</f>
        <v>-20</v>
      </c>
      <c r="M34" s="32">
        <f>Ranking!AG51</f>
        <v>74.099999999999994</v>
      </c>
      <c r="N34" s="32">
        <f>Ranking!AH51</f>
        <v>-56</v>
      </c>
      <c r="O34" s="32">
        <f>Ranking!AI51</f>
        <v>-48.375</v>
      </c>
    </row>
    <row r="35" spans="1:15" x14ac:dyDescent="0.2">
      <c r="A35" s="137">
        <f>Ranking!A39</f>
        <v>38</v>
      </c>
      <c r="B35" s="137" t="str">
        <f>Ranking!D39</f>
        <v>Noah</v>
      </c>
      <c r="C35" s="137" t="str">
        <f>Ranking!E39</f>
        <v>France</v>
      </c>
      <c r="D35" s="137">
        <f>Ranking!F39</f>
        <v>1636</v>
      </c>
      <c r="E35" s="32">
        <f>Ranking!BG39</f>
        <v>2113.5056112458615</v>
      </c>
      <c r="F35" s="32">
        <f>Ranking!BN39</f>
        <v>1910.6324727941155</v>
      </c>
      <c r="G35" s="32">
        <f>Ranking!BR39</f>
        <v>1945.2251980445858</v>
      </c>
      <c r="H35" s="12">
        <f>Ranking!M39</f>
        <v>116.85714285714286</v>
      </c>
      <c r="I35" s="12">
        <f>Ranking!N39</f>
        <v>44.216216216216218</v>
      </c>
      <c r="J35" s="12">
        <f>Ranking!O39</f>
        <v>19.023255813953487</v>
      </c>
      <c r="K35" s="45">
        <f>Ranking!I39</f>
        <v>0.70491803278688525</v>
      </c>
      <c r="L35" s="32">
        <f>Ranking!AF39</f>
        <v>27.166666666666668</v>
      </c>
      <c r="M35" s="32">
        <f>Ranking!AG39</f>
        <v>88.571428571428569</v>
      </c>
      <c r="N35" s="32">
        <f>Ranking!AH39</f>
        <v>-47.166666666666664</v>
      </c>
      <c r="O35" s="32">
        <f>Ranking!AI39</f>
        <v>46.909090909090907</v>
      </c>
    </row>
    <row r="36" spans="1:15" x14ac:dyDescent="0.2">
      <c r="A36" s="137">
        <f>Ranking!A33</f>
        <v>33</v>
      </c>
      <c r="B36" s="137" t="str">
        <f>Ranking!D33</f>
        <v>Thiem</v>
      </c>
      <c r="C36" s="137" t="str">
        <f>Ranking!E33</f>
        <v>Austria</v>
      </c>
      <c r="D36" s="137">
        <f>Ranking!F33</f>
        <v>2469</v>
      </c>
      <c r="E36" s="32">
        <f>Ranking!BG33</f>
        <v>2463.051152176859</v>
      </c>
      <c r="F36" s="32">
        <f>Ranking!BN33</f>
        <v>2185.6221577200872</v>
      </c>
      <c r="G36" s="32">
        <f>Ranking!BR33</f>
        <v>2551.7251980445858</v>
      </c>
      <c r="H36" s="12">
        <f>Ranking!M33</f>
        <v>411.5</v>
      </c>
      <c r="I36" s="12">
        <f>Ranking!N33</f>
        <v>72.617647058823536</v>
      </c>
      <c r="J36" s="12">
        <f>Ranking!O33</f>
        <v>33.364864864864863</v>
      </c>
      <c r="K36" s="45">
        <f>Ranking!I33</f>
        <v>0.69158878504672894</v>
      </c>
      <c r="L36" s="32">
        <f>Ranking!AF33</f>
        <v>63.3</v>
      </c>
      <c r="M36" s="32">
        <f>Ranking!AG33</f>
        <v>117.6</v>
      </c>
      <c r="N36" s="32">
        <f>Ranking!AH33</f>
        <v>-32.428571428571431</v>
      </c>
      <c r="O36" s="32">
        <f>Ranking!AI33</f>
        <v>98.555555555555557</v>
      </c>
    </row>
    <row r="37" spans="1:15" x14ac:dyDescent="0.2">
      <c r="A37" s="137">
        <f>Ranking!A38</f>
        <v>37</v>
      </c>
      <c r="B37" s="137" t="str">
        <f>Ranking!D38</f>
        <v>Rafter</v>
      </c>
      <c r="C37" s="137" t="str">
        <f>Ranking!E38</f>
        <v>Australia</v>
      </c>
      <c r="D37" s="137">
        <f>Ranking!F38</f>
        <v>1860</v>
      </c>
      <c r="E37" s="32">
        <f>Ranking!BG38</f>
        <v>2513.3971444467188</v>
      </c>
      <c r="F37" s="32">
        <f>Ranking!BN38</f>
        <v>1526.0548006728582</v>
      </c>
      <c r="G37" s="32">
        <f>Ranking!BR38</f>
        <v>1792.2251980445858</v>
      </c>
      <c r="H37" s="12">
        <f>Ranking!M38</f>
        <v>186</v>
      </c>
      <c r="I37" s="12">
        <f>Ranking!N38</f>
        <v>53.142857142857146</v>
      </c>
      <c r="J37" s="12">
        <f>Ranking!O38</f>
        <v>24.473684210526315</v>
      </c>
      <c r="K37" s="45">
        <f>Ranking!I38</f>
        <v>0.69724770642201839</v>
      </c>
      <c r="L37" s="32">
        <f>Ranking!AF38</f>
        <v>18.333333333333332</v>
      </c>
      <c r="M37" s="32">
        <f>Ranking!AG38</f>
        <v>4.75</v>
      </c>
      <c r="N37" s="32">
        <f>Ranking!AH38</f>
        <v>93.666666666666671</v>
      </c>
      <c r="O37" s="32">
        <f>Ranking!AI38</f>
        <v>90.444444444444443</v>
      </c>
    </row>
    <row r="38" spans="1:15" x14ac:dyDescent="0.2">
      <c r="A38" s="137">
        <f>Ranking!A34</f>
        <v>27</v>
      </c>
      <c r="B38" s="137" t="str">
        <f>Ranking!D34</f>
        <v>Medvedev</v>
      </c>
      <c r="C38" s="137" t="str">
        <f>Ranking!E34</f>
        <v>Russia</v>
      </c>
      <c r="D38" s="137">
        <f>Ranking!F34</f>
        <v>2872</v>
      </c>
      <c r="E38" s="32">
        <f>Ranking!BG34</f>
        <v>2255.2330567139475</v>
      </c>
      <c r="F38" s="32">
        <f>Ranking!BN34</f>
        <v>2379.8038808143174</v>
      </c>
      <c r="G38" s="32">
        <f>Ranking!BR34</f>
        <v>1941.2251980445858</v>
      </c>
      <c r="H38" s="12">
        <f>Ranking!M34</f>
        <v>410.28571428571428</v>
      </c>
      <c r="I38" s="12">
        <f>Ranking!N34</f>
        <v>114.88</v>
      </c>
      <c r="J38" s="12">
        <f>Ranking!O34</f>
        <v>44.875</v>
      </c>
      <c r="K38" s="45">
        <f>Ranking!I34</f>
        <v>0.72727272727272729</v>
      </c>
      <c r="L38" s="32">
        <f>Ranking!AF34</f>
        <v>123.125</v>
      </c>
      <c r="M38" s="32">
        <f>Ranking!AG34</f>
        <v>21.625</v>
      </c>
      <c r="N38" s="32">
        <f>Ranking!AH34</f>
        <v>89.8</v>
      </c>
      <c r="O38" s="32">
        <f>Ranking!AI34</f>
        <v>180.71428571428572</v>
      </c>
    </row>
    <row r="39" spans="1:15" x14ac:dyDescent="0.2">
      <c r="A39" s="137">
        <f>Ranking!A35</f>
        <v>34</v>
      </c>
      <c r="B39" s="137" t="str">
        <f>Ranking!D35</f>
        <v>Chang</v>
      </c>
      <c r="C39" s="137" t="str">
        <f>Ranking!E35</f>
        <v>USA</v>
      </c>
      <c r="D39" s="137">
        <f>Ranking!F35</f>
        <v>2302</v>
      </c>
      <c r="E39" s="32">
        <f>Ranking!BG35</f>
        <v>3519.9627526738354</v>
      </c>
      <c r="F39" s="32">
        <f>Ranking!BN35</f>
        <v>2755.7706248565432</v>
      </c>
      <c r="G39" s="32">
        <f>Ranking!BR35</f>
        <v>2374.2251980445858</v>
      </c>
      <c r="H39" s="12">
        <f>Ranking!M35</f>
        <v>135.41176470588235</v>
      </c>
      <c r="I39" s="12">
        <f>Ranking!N35</f>
        <v>40.385964912280699</v>
      </c>
      <c r="J39" s="12">
        <f>Ranking!O35</f>
        <v>19.183333333333334</v>
      </c>
      <c r="K39" s="45">
        <f>Ranking!I35</f>
        <v>0.68181818181818177</v>
      </c>
      <c r="L39" s="32">
        <f>Ranking!AF35</f>
        <v>52.5</v>
      </c>
      <c r="M39" s="32">
        <f>Ranking!AG35</f>
        <v>48.4375</v>
      </c>
      <c r="N39" s="32">
        <f>Ranking!AH35</f>
        <v>-6.7857142857142856</v>
      </c>
      <c r="O39" s="32">
        <f>Ranking!AI35</f>
        <v>64.529411764705884</v>
      </c>
    </row>
  </sheetData>
  <sortState ref="A3:O39">
    <sortCondition ref="A3:A39"/>
  </sortState>
  <mergeCells count="10">
    <mergeCell ref="L1:O1"/>
    <mergeCell ref="A1:A2"/>
    <mergeCell ref="B1:B2"/>
    <mergeCell ref="C1:C2"/>
    <mergeCell ref="D1:D2"/>
    <mergeCell ref="E1:E2"/>
    <mergeCell ref="F1:F2"/>
    <mergeCell ref="K1:K2"/>
    <mergeCell ref="G1:G2"/>
    <mergeCell ref="H1:J1"/>
  </mergeCells>
  <conditionalFormatting sqref="L3">
    <cfRule type="colorScale" priority="3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">
    <cfRule type="colorScale" priority="3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">
    <cfRule type="colorScale" priority="3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">
    <cfRule type="colorScale" priority="3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">
    <cfRule type="colorScale" priority="2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">
    <cfRule type="colorScale" priority="2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">
    <cfRule type="colorScale" priority="2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2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">
    <cfRule type="colorScale" priority="2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">
    <cfRule type="colorScale" priority="2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">
    <cfRule type="colorScale" priority="2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6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6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6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6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6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6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6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6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6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6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6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6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9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6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6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6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6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6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9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3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3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36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36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3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3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3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36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36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3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3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3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3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3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3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3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3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3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3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3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3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3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3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E37"/>
  <sheetViews>
    <sheetView zoomScaleNormal="10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T25" sqref="T25"/>
    </sheetView>
  </sheetViews>
  <sheetFormatPr baseColWidth="10" defaultColWidth="10.83203125" defaultRowHeight="12" x14ac:dyDescent="0.2"/>
  <cols>
    <col min="1" max="1" width="7.6640625" style="42" customWidth="1"/>
    <col min="2" max="3" width="4.5" style="76" customWidth="1"/>
    <col min="4" max="20" width="4.5" style="42" customWidth="1"/>
    <col min="21" max="26" width="5" style="42" customWidth="1"/>
    <col min="27" max="28" width="5.5" style="42" customWidth="1"/>
    <col min="29" max="42" width="4.5" style="42" customWidth="1"/>
    <col min="43" max="52" width="5.1640625" style="42" customWidth="1"/>
    <col min="53" max="53" width="5.1640625" style="112" customWidth="1"/>
    <col min="54" max="54" width="5.1640625" style="123" customWidth="1"/>
    <col min="55" max="57" width="5.1640625" style="138" customWidth="1"/>
    <col min="58" max="16384" width="10.83203125" style="42"/>
  </cols>
  <sheetData>
    <row r="1" spans="1:57" x14ac:dyDescent="0.2">
      <c r="A1" s="42" t="str">
        <f>Timeline!A1</f>
        <v>Year</v>
      </c>
      <c r="B1" s="76">
        <v>1968</v>
      </c>
      <c r="C1" s="76">
        <v>1969</v>
      </c>
      <c r="D1" s="42">
        <f>Timeline!D1</f>
        <v>1970</v>
      </c>
      <c r="E1" s="42">
        <f>Timeline!E1</f>
        <v>1971</v>
      </c>
      <c r="F1" s="42">
        <f>Timeline!F1</f>
        <v>1972</v>
      </c>
      <c r="G1" s="42">
        <f>Timeline!G1</f>
        <v>1973</v>
      </c>
      <c r="H1" s="42">
        <f>Timeline!H1</f>
        <v>1974</v>
      </c>
      <c r="I1" s="42">
        <f>Timeline!I1</f>
        <v>1975</v>
      </c>
      <c r="J1" s="42">
        <f>Timeline!J1</f>
        <v>1976</v>
      </c>
      <c r="K1" s="42">
        <f>Timeline!K1</f>
        <v>1977</v>
      </c>
      <c r="L1" s="42">
        <f>Timeline!L1</f>
        <v>1978</v>
      </c>
      <c r="M1" s="42">
        <f>Timeline!M1</f>
        <v>1979</v>
      </c>
      <c r="N1" s="42">
        <f>Timeline!N1</f>
        <v>1980</v>
      </c>
      <c r="O1" s="42">
        <f>Timeline!O1</f>
        <v>1981</v>
      </c>
      <c r="P1" s="42">
        <f>Timeline!P1</f>
        <v>1982</v>
      </c>
      <c r="Q1" s="42">
        <f>Timeline!Q1</f>
        <v>1983</v>
      </c>
      <c r="R1" s="42">
        <f>Timeline!R1</f>
        <v>1984</v>
      </c>
      <c r="S1" s="42">
        <f>Timeline!S1</f>
        <v>1985</v>
      </c>
      <c r="T1" s="42">
        <f>Timeline!T1</f>
        <v>1986</v>
      </c>
      <c r="U1" s="42">
        <f>Timeline!U1</f>
        <v>1987</v>
      </c>
      <c r="V1" s="42">
        <f>Timeline!V1</f>
        <v>1988</v>
      </c>
      <c r="W1" s="42">
        <f>Timeline!W1</f>
        <v>1989</v>
      </c>
      <c r="X1" s="42">
        <f>Timeline!X1</f>
        <v>1990</v>
      </c>
      <c r="Y1" s="42">
        <f>Timeline!Y1</f>
        <v>1991</v>
      </c>
      <c r="Z1" s="42">
        <f>Timeline!Z1</f>
        <v>1992</v>
      </c>
      <c r="AA1" s="42">
        <f>Timeline!AA1</f>
        <v>1993</v>
      </c>
      <c r="AB1" s="42">
        <f>Timeline!AB1</f>
        <v>1994</v>
      </c>
      <c r="AC1" s="42">
        <f>Timeline!AC1</f>
        <v>1995</v>
      </c>
      <c r="AD1" s="42">
        <f>Timeline!AD1</f>
        <v>1996</v>
      </c>
      <c r="AE1" s="42">
        <f>Timeline!AE1</f>
        <v>1997</v>
      </c>
      <c r="AF1" s="42">
        <f>Timeline!AF1</f>
        <v>1998</v>
      </c>
      <c r="AG1" s="42">
        <f>Timeline!AG1</f>
        <v>1999</v>
      </c>
      <c r="AH1" s="42">
        <f>Timeline!AH1</f>
        <v>2000</v>
      </c>
      <c r="AI1" s="42">
        <f>Timeline!AI1</f>
        <v>2001</v>
      </c>
      <c r="AJ1" s="42">
        <f>Timeline!AJ1</f>
        <v>2002</v>
      </c>
      <c r="AK1" s="42">
        <f>Timeline!AK1</f>
        <v>2003</v>
      </c>
      <c r="AL1" s="42">
        <f>Timeline!AL1</f>
        <v>2004</v>
      </c>
      <c r="AM1" s="42">
        <f>Timeline!AM1</f>
        <v>2005</v>
      </c>
      <c r="AN1" s="42">
        <f>Timeline!AN1</f>
        <v>2006</v>
      </c>
      <c r="AO1" s="42">
        <f>Timeline!AO1</f>
        <v>2007</v>
      </c>
      <c r="AP1" s="42">
        <f>Timeline!AP1</f>
        <v>2008</v>
      </c>
      <c r="AQ1" s="42">
        <f>Timeline!AQ1</f>
        <v>2009</v>
      </c>
      <c r="AR1" s="42">
        <f>Timeline!AR1</f>
        <v>2010</v>
      </c>
      <c r="AS1" s="42">
        <f>Timeline!AS1</f>
        <v>2011</v>
      </c>
      <c r="AT1" s="42">
        <f>Timeline!AT1</f>
        <v>2012</v>
      </c>
      <c r="AU1" s="42">
        <f>Timeline!AU1</f>
        <v>2013</v>
      </c>
      <c r="AV1" s="42">
        <f>Timeline!AV1</f>
        <v>2014</v>
      </c>
      <c r="AW1" s="42">
        <f>Timeline!AW1</f>
        <v>2015</v>
      </c>
      <c r="AX1" s="42">
        <f>Timeline!AX1</f>
        <v>2016</v>
      </c>
      <c r="AY1" s="42">
        <f>Timeline!AY1</f>
        <v>2017</v>
      </c>
      <c r="AZ1" s="42">
        <f>Timeline!AZ1</f>
        <v>2018</v>
      </c>
      <c r="BA1" s="112">
        <v>2019</v>
      </c>
      <c r="BB1" s="123">
        <v>2020</v>
      </c>
      <c r="BC1" s="138">
        <v>2021</v>
      </c>
      <c r="BD1" s="138">
        <v>2022</v>
      </c>
      <c r="BE1" s="138">
        <v>2023</v>
      </c>
    </row>
    <row r="2" spans="1:57" s="76" customFormat="1" x14ac:dyDescent="0.2">
      <c r="A2" s="76" t="s">
        <v>145</v>
      </c>
      <c r="B2" s="76">
        <f>SUM(Timeline!B6:B9)</f>
        <v>941</v>
      </c>
      <c r="C2" s="76">
        <f>SUM(Timeline!C6:C9)+B2</f>
        <v>2967</v>
      </c>
      <c r="D2" s="76">
        <f>SUM(Timeline!D6:D9)+C2</f>
        <v>3142</v>
      </c>
      <c r="E2" s="76">
        <f>SUM(Timeline!E6:E9)+D2</f>
        <v>3413</v>
      </c>
      <c r="F2" s="76">
        <f>SUM(Timeline!F6:F9)+E2</f>
        <v>3482</v>
      </c>
      <c r="G2" s="76">
        <f>SUM(Timeline!G6:G9)+F2</f>
        <v>3540</v>
      </c>
      <c r="H2" s="76">
        <f>SUM(Timeline!H6:H9)+G2</f>
        <v>3540</v>
      </c>
      <c r="I2" s="76">
        <f>SUM(Timeline!I6:I9)+H2</f>
        <v>3714</v>
      </c>
      <c r="J2" s="76">
        <f>SUM(Timeline!J6:J9)+I2</f>
        <v>3714</v>
      </c>
      <c r="K2" s="76">
        <f>SUM(Timeline!K6:K9)+J2</f>
        <v>3706</v>
      </c>
      <c r="BA2" s="112"/>
      <c r="BB2" s="123"/>
      <c r="BC2" s="138"/>
      <c r="BD2" s="138"/>
      <c r="BE2" s="138"/>
    </row>
    <row r="3" spans="1:57" s="78" customFormat="1" x14ac:dyDescent="0.2">
      <c r="A3" s="78" t="s">
        <v>153</v>
      </c>
      <c r="B3" s="78">
        <f>SUM(Timeline!B10:B13)</f>
        <v>855</v>
      </c>
      <c r="C3" s="78">
        <f>SUM(Timeline!C10:C13)+B3</f>
        <v>1499</v>
      </c>
      <c r="D3" s="78">
        <f>SUM(Timeline!D10:D13)+C3</f>
        <v>2375</v>
      </c>
      <c r="E3" s="78">
        <f>SUM(Timeline!E10:E13)+D3</f>
        <v>3178</v>
      </c>
      <c r="F3" s="78">
        <f>SUM(Timeline!F10:F13)+E3</f>
        <v>3538</v>
      </c>
      <c r="G3" s="78">
        <f>SUM(Timeline!G10:G13)+F3</f>
        <v>3673</v>
      </c>
      <c r="H3" s="78">
        <f>SUM(Timeline!H10:H13)+G3</f>
        <v>4481</v>
      </c>
      <c r="I3" s="78">
        <f>SUM(Timeline!I10:I13)+H3</f>
        <v>4543</v>
      </c>
      <c r="J3" s="78">
        <f>SUM(Timeline!J10:J13)+I3</f>
        <v>4696</v>
      </c>
      <c r="K3" s="78">
        <f>SUM(Timeline!K10:K13)+J3</f>
        <v>4822</v>
      </c>
      <c r="L3" s="78">
        <f>SUM(Timeline!L10:L13)+K3</f>
        <v>4851</v>
      </c>
      <c r="BA3" s="112"/>
      <c r="BB3" s="123"/>
      <c r="BC3" s="138"/>
      <c r="BD3" s="138"/>
      <c r="BE3" s="138"/>
    </row>
    <row r="4" spans="1:57" s="76" customFormat="1" x14ac:dyDescent="0.2">
      <c r="A4" s="76" t="s">
        <v>150</v>
      </c>
      <c r="B4" s="76">
        <f>SUM(Timeline!B14:B17)</f>
        <v>249</v>
      </c>
      <c r="C4" s="76">
        <f>SUM(Timeline!C14:C17)+B4</f>
        <v>1314</v>
      </c>
      <c r="D4" s="76">
        <f>SUM(Timeline!D14:D17)+C4</f>
        <v>2043</v>
      </c>
      <c r="E4" s="76">
        <f>SUM(Timeline!E14:E17)+D4</f>
        <v>2544</v>
      </c>
      <c r="F4" s="76">
        <f>SUM(Timeline!F14:F17)+E4</f>
        <v>2696</v>
      </c>
      <c r="G4" s="76">
        <f>SUM(Timeline!G14:G17)+F4</f>
        <v>3416</v>
      </c>
      <c r="H4" s="76">
        <f>SUM(Timeline!H14:H17)+G4</f>
        <v>4048</v>
      </c>
      <c r="I4" s="76">
        <f>SUM(Timeline!I14:I17)+H4</f>
        <v>4428</v>
      </c>
      <c r="J4" s="76">
        <f>SUM(Timeline!J14:J17)+I4</f>
        <v>4555</v>
      </c>
      <c r="K4" s="76">
        <f>SUM(Timeline!K14:K17)+J4</f>
        <v>4781</v>
      </c>
      <c r="L4" s="76">
        <f>SUM(Timeline!L14:L17)+K4</f>
        <v>4843</v>
      </c>
      <c r="BA4" s="112"/>
      <c r="BB4" s="123"/>
      <c r="BC4" s="138"/>
      <c r="BD4" s="138"/>
      <c r="BE4" s="138"/>
    </row>
    <row r="5" spans="1:57" s="82" customFormat="1" x14ac:dyDescent="0.2">
      <c r="A5" s="82" t="s">
        <v>158</v>
      </c>
      <c r="B5" s="82">
        <f>SUM(Timeline!B22:B25)</f>
        <v>796</v>
      </c>
      <c r="C5" s="82">
        <f>SUM(Timeline!C22:C25)+B5</f>
        <v>1422</v>
      </c>
      <c r="D5" s="82">
        <f>SUM(Timeline!D22:D25)+C5</f>
        <v>2416</v>
      </c>
      <c r="E5" s="82">
        <f>SUM(Timeline!E22:E25)+D5</f>
        <v>3217</v>
      </c>
      <c r="F5" s="82">
        <f>SUM(Timeline!F22:F25)+E5</f>
        <v>3629</v>
      </c>
      <c r="G5" s="82">
        <f>SUM(Timeline!G22:G25)+F5</f>
        <v>3728</v>
      </c>
      <c r="H5" s="82">
        <f>SUM(Timeline!H22:H25)+G5</f>
        <v>3895</v>
      </c>
      <c r="I5" s="82">
        <f>SUM(Timeline!I22:I25)+H5</f>
        <v>4437</v>
      </c>
      <c r="J5" s="82">
        <f>SUM(Timeline!J22:J25)+I5</f>
        <v>4517</v>
      </c>
      <c r="K5" s="82">
        <f>SUM(Timeline!K22:K25)+J5</f>
        <v>4501</v>
      </c>
      <c r="L5" s="82">
        <f>SUM(Timeline!L22:L25)+K5</f>
        <v>4721</v>
      </c>
      <c r="M5" s="82">
        <f>SUM(Timeline!M22:M25)+L5</f>
        <v>4645</v>
      </c>
      <c r="BA5" s="112"/>
      <c r="BB5" s="123"/>
      <c r="BC5" s="138"/>
      <c r="BD5" s="138"/>
      <c r="BE5" s="138"/>
    </row>
    <row r="6" spans="1:57" s="88" customFormat="1" x14ac:dyDescent="0.2">
      <c r="A6" s="88" t="s">
        <v>191</v>
      </c>
      <c r="B6" s="88">
        <f>SUM(Timeline!B30:B33)</f>
        <v>33</v>
      </c>
      <c r="C6" s="88">
        <f>SUM(Timeline!C30:C33)+B6</f>
        <v>187</v>
      </c>
      <c r="D6" s="88">
        <f>SUM(Timeline!D30:D33)+C6</f>
        <v>573</v>
      </c>
      <c r="E6" s="88">
        <f>SUM(Timeline!E30:E33)+D6</f>
        <v>1578</v>
      </c>
      <c r="F6" s="88">
        <f>SUM(Timeline!F30:F33)+E6</f>
        <v>2414</v>
      </c>
      <c r="G6" s="88">
        <f>SUM(Timeline!G30:G33)+F6</f>
        <v>2844</v>
      </c>
      <c r="H6" s="88">
        <f>SUM(Timeline!H30:H33)+G6</f>
        <v>3090</v>
      </c>
      <c r="I6" s="88">
        <f>SUM(Timeline!I30:I33)+H6</f>
        <v>2992</v>
      </c>
      <c r="J6" s="88">
        <f>SUM(Timeline!J30:J33)+I6</f>
        <v>3082</v>
      </c>
      <c r="K6" s="88">
        <f>SUM(Timeline!K30:K33)+J6</f>
        <v>3134</v>
      </c>
      <c r="L6" s="88">
        <f>SUM(Timeline!L30:L33)+K6</f>
        <v>3067</v>
      </c>
      <c r="M6" s="88">
        <f>SUM(Timeline!M30:M33)+L6</f>
        <v>3110</v>
      </c>
      <c r="N6" s="88">
        <f>SUM(Timeline!N30:N33)+M6</f>
        <v>3139</v>
      </c>
      <c r="O6" s="88">
        <f>SUM(Timeline!O30:O33)+N6</f>
        <v>3238</v>
      </c>
      <c r="P6" s="88">
        <f>SUM(Timeline!P30:P33)+O6</f>
        <v>3199</v>
      </c>
      <c r="Q6" s="88">
        <f>SUM(Timeline!Q30:Q33)+P6</f>
        <v>3002</v>
      </c>
      <c r="BA6" s="112"/>
      <c r="BB6" s="123"/>
      <c r="BC6" s="138"/>
      <c r="BD6" s="138"/>
      <c r="BE6" s="138"/>
    </row>
    <row r="7" spans="1:57" s="59" customFormat="1" x14ac:dyDescent="0.2">
      <c r="A7" s="59" t="s">
        <v>106</v>
      </c>
      <c r="B7" s="78"/>
      <c r="C7" s="76"/>
      <c r="D7" s="59">
        <f>SUM(Timeline!D46:D49)</f>
        <v>-99</v>
      </c>
      <c r="E7" s="59">
        <f>SUM(Timeline!E46:E49)+D7</f>
        <v>-99</v>
      </c>
      <c r="F7" s="59">
        <f>SUM(Timeline!F46:F49)+E7</f>
        <v>-102</v>
      </c>
      <c r="G7" s="59">
        <f>SUM(Timeline!G46:G49)+F7</f>
        <v>-118</v>
      </c>
      <c r="H7" s="59">
        <f>SUM(Timeline!H46:H49)+G7</f>
        <v>42</v>
      </c>
      <c r="I7" s="59">
        <f>SUM(Timeline!I46:I49)+H7</f>
        <v>747</v>
      </c>
      <c r="J7" s="59">
        <f>SUM(Timeline!J46:J49)+I7</f>
        <v>1287</v>
      </c>
      <c r="K7" s="59">
        <f>SUM(Timeline!K46:K49)+J7</f>
        <v>2437</v>
      </c>
      <c r="L7" s="59">
        <f>SUM(Timeline!L46:L49)+K7</f>
        <v>3192</v>
      </c>
      <c r="M7" s="59">
        <f>SUM(Timeline!M46:M49)+L7</f>
        <v>3812</v>
      </c>
      <c r="N7" s="59">
        <f>SUM(Timeline!N46:N49)+M7</f>
        <v>4161</v>
      </c>
      <c r="O7" s="59">
        <f>SUM(Timeline!O46:O49)+N7</f>
        <v>4343</v>
      </c>
      <c r="P7" s="59">
        <f>SUM(Timeline!P46:P49)+O7</f>
        <v>4795</v>
      </c>
      <c r="Q7" s="59">
        <f>SUM(Timeline!Q46:Q49)+P7</f>
        <v>4732</v>
      </c>
      <c r="R7" s="59">
        <f>SUM(Timeline!R46:R49)+Q7</f>
        <v>4683</v>
      </c>
      <c r="S7" s="59">
        <f>SUM(Timeline!S46:S49)+R7</f>
        <v>4659</v>
      </c>
      <c r="T7" s="59">
        <f>SUM(Timeline!T46:T49)+S7</f>
        <v>4618</v>
      </c>
      <c r="U7" s="59">
        <f>SUM(Timeline!U46:U49)+T7</f>
        <v>4565</v>
      </c>
      <c r="V7" s="59">
        <f>SUM(Timeline!V46:V49)+U7</f>
        <v>4520</v>
      </c>
      <c r="W7" s="59">
        <f>SUM(Timeline!W46:W49)+V7</f>
        <v>4421</v>
      </c>
      <c r="BA7" s="112"/>
      <c r="BB7" s="123"/>
      <c r="BC7" s="138"/>
      <c r="BD7" s="138"/>
      <c r="BE7" s="138"/>
    </row>
    <row r="8" spans="1:57" x14ac:dyDescent="0.2">
      <c r="A8" s="42" t="s">
        <v>49</v>
      </c>
      <c r="D8" s="42">
        <f>SUM(Timeline!D50:D53)</f>
        <v>-18</v>
      </c>
      <c r="E8" s="42">
        <f>SUM(Timeline!E50:E53)+D8</f>
        <v>-61</v>
      </c>
      <c r="F8" s="42">
        <f>SUM(Timeline!F50:F53)+E8</f>
        <v>146</v>
      </c>
      <c r="G8" s="42">
        <f>SUM(Timeline!G50:G53)+F8</f>
        <v>312</v>
      </c>
      <c r="H8" s="42">
        <f>SUM(Timeline!H50:H53)+G8</f>
        <v>1686</v>
      </c>
      <c r="I8" s="42">
        <f>SUM(Timeline!I50:I53)+H8</f>
        <v>2638</v>
      </c>
      <c r="J8" s="42">
        <f>SUM(Timeline!J50:J53)+I8</f>
        <v>3177</v>
      </c>
      <c r="K8" s="42">
        <f>SUM(Timeline!K50:K53)+J8</f>
        <v>3860</v>
      </c>
      <c r="L8" s="42">
        <f>SUM(Timeline!L50:L53)+K8</f>
        <v>4787</v>
      </c>
      <c r="M8" s="42">
        <f>SUM(Timeline!M50:M53)+L8</f>
        <v>5593</v>
      </c>
      <c r="N8" s="42">
        <f>SUM(Timeline!N50:N53)+M8</f>
        <v>6344</v>
      </c>
      <c r="O8" s="42">
        <f>SUM(Timeline!O50:O53)+N8</f>
        <v>6894</v>
      </c>
      <c r="P8" s="42">
        <f>SUM(Timeline!P50:P53)+O8</f>
        <v>7981</v>
      </c>
      <c r="Q8" s="42">
        <f>SUM(Timeline!Q50:Q53)+P8</f>
        <v>8697</v>
      </c>
      <c r="R8" s="42">
        <f>SUM(Timeline!R50:R53)+Q8</f>
        <v>9393</v>
      </c>
      <c r="S8" s="42">
        <f>SUM(Timeline!S50:S53)+R8</f>
        <v>9991</v>
      </c>
      <c r="T8" s="42">
        <f>SUM(Timeline!T50:T53)+S8</f>
        <v>9894</v>
      </c>
      <c r="U8" s="42">
        <f>SUM(Timeline!U50:U53)+T8</f>
        <v>10347</v>
      </c>
      <c r="V8" s="42">
        <f>SUM(Timeline!V50:V53)+U8</f>
        <v>10314</v>
      </c>
      <c r="W8" s="42">
        <f>SUM(Timeline!W50:W53)+V8</f>
        <v>10488</v>
      </c>
      <c r="X8" s="42">
        <f>SUM(Timeline!X50:X53)+W8</f>
        <v>10488</v>
      </c>
      <c r="Y8" s="42">
        <f>SUM(Timeline!Y50:Y53)+X8</f>
        <v>10922</v>
      </c>
      <c r="Z8" s="42">
        <f>SUM(Timeline!Z50:Z53)+Y8</f>
        <v>10870</v>
      </c>
    </row>
    <row r="9" spans="1:57" x14ac:dyDescent="0.2">
      <c r="A9" s="42" t="s">
        <v>20</v>
      </c>
      <c r="G9" s="42">
        <f>SUM(Timeline!G58:G61)</f>
        <v>358</v>
      </c>
      <c r="H9" s="42">
        <f>SUM(Timeline!H58:H61)+G9</f>
        <v>710</v>
      </c>
      <c r="I9" s="42">
        <f>SUM(Timeline!I58:I61)+H9</f>
        <v>1639</v>
      </c>
      <c r="J9" s="42">
        <f>SUM(Timeline!J58:J61)+I9</f>
        <v>2629</v>
      </c>
      <c r="K9" s="42">
        <f>SUM(Timeline!K58:K61)+J9</f>
        <v>3204</v>
      </c>
      <c r="L9" s="42">
        <f>SUM(Timeline!L58:L61)+K9</f>
        <v>4496</v>
      </c>
      <c r="M9" s="42">
        <f>SUM(Timeline!M58:M61)+L9</f>
        <v>5430</v>
      </c>
      <c r="N9" s="42">
        <f>SUM(Timeline!N58:N61)+M9</f>
        <v>6801</v>
      </c>
      <c r="O9" s="42">
        <f>SUM(Timeline!O58:O61)+N9</f>
        <v>7977</v>
      </c>
    </row>
    <row r="10" spans="1:57" x14ac:dyDescent="0.2">
      <c r="A10" s="42" t="s">
        <v>70</v>
      </c>
      <c r="K10" s="42">
        <f>SUM(Timeline!K74:K77)</f>
        <v>369</v>
      </c>
      <c r="L10" s="42">
        <f>SUM(Timeline!L74:L77)+K10</f>
        <v>528</v>
      </c>
      <c r="M10" s="42">
        <f>SUM(Timeline!M74:M77)+L10</f>
        <v>1139</v>
      </c>
      <c r="N10" s="42">
        <f>SUM(Timeline!N74:N77)+M10</f>
        <v>1854</v>
      </c>
      <c r="O10" s="42">
        <f>SUM(Timeline!O74:O77)+N10</f>
        <v>2976</v>
      </c>
      <c r="P10" s="42">
        <f>SUM(Timeline!P74:P77)+O10</f>
        <v>3554</v>
      </c>
      <c r="Q10" s="42">
        <f>SUM(Timeline!Q74:Q77)+P10</f>
        <v>4178</v>
      </c>
      <c r="R10" s="42">
        <f>SUM(Timeline!R74:R77)+Q10</f>
        <v>5481</v>
      </c>
      <c r="S10" s="42">
        <f>SUM(Timeline!S74:S77)+R10</f>
        <v>6089</v>
      </c>
      <c r="T10" s="42">
        <f>SUM(Timeline!T74:T77)+S10</f>
        <v>6069</v>
      </c>
      <c r="U10" s="42">
        <f>SUM(Timeline!U74:U77)+T10</f>
        <v>6227</v>
      </c>
      <c r="V10" s="42">
        <f>SUM(Timeline!V74:V77)+U10</f>
        <v>6192</v>
      </c>
      <c r="W10" s="42">
        <f>SUM(Timeline!W74:W77)+V10</f>
        <v>6503</v>
      </c>
      <c r="X10" s="42">
        <f>SUM(Timeline!X74:X77)+W10</f>
        <v>6705</v>
      </c>
      <c r="Y10" s="42">
        <f>SUM(Timeline!Y74:Y77)+X10</f>
        <v>6705</v>
      </c>
      <c r="Z10" s="42">
        <f>SUM(Timeline!Z74:Z77)+Y10</f>
        <v>7077</v>
      </c>
    </row>
    <row r="11" spans="1:57" x14ac:dyDescent="0.2">
      <c r="A11" s="42" t="s">
        <v>57</v>
      </c>
      <c r="L11" s="42">
        <f>SUM(Timeline!L78:L81)</f>
        <v>-99</v>
      </c>
      <c r="M11" s="42">
        <f>SUM(Timeline!M78:M81)+L11</f>
        <v>32</v>
      </c>
      <c r="N11" s="42">
        <f>SUM(Timeline!N78:N81)+M11</f>
        <v>245</v>
      </c>
      <c r="O11" s="42">
        <f>SUM(Timeline!O78:O81)+N11</f>
        <v>578</v>
      </c>
      <c r="P11" s="42">
        <f>SUM(Timeline!P78:P81)+O11</f>
        <v>1000</v>
      </c>
      <c r="Q11" s="42">
        <f>SUM(Timeline!Q78:Q81)+P11</f>
        <v>1981</v>
      </c>
      <c r="R11" s="42">
        <f>SUM(Timeline!R78:R81)+Q11</f>
        <v>3198</v>
      </c>
      <c r="S11" s="42">
        <f>SUM(Timeline!S78:S81)+R11</f>
        <v>4135</v>
      </c>
      <c r="T11" s="42">
        <f>SUM(Timeline!T78:T81)+S11</f>
        <v>5384</v>
      </c>
      <c r="U11" s="42">
        <f>SUM(Timeline!U78:U81)+T11</f>
        <v>6868</v>
      </c>
      <c r="V11" s="42">
        <f>SUM(Timeline!V78:V81)+U11</f>
        <v>7786</v>
      </c>
      <c r="W11" s="42">
        <f>SUM(Timeline!W78:W81)+V11</f>
        <v>8938</v>
      </c>
      <c r="X11" s="42">
        <f>SUM(Timeline!X78:X81)+W11</f>
        <v>9513</v>
      </c>
      <c r="Y11" s="42">
        <f>SUM(Timeline!Y78:Y81)+X11</f>
        <v>10233</v>
      </c>
      <c r="Z11" s="42">
        <f>SUM(Timeline!Z78:Z81)+Y11</f>
        <v>10584</v>
      </c>
      <c r="AA11" s="42">
        <f>SUM(Timeline!AA78:AA81)+Z11</f>
        <v>10301</v>
      </c>
      <c r="AB11" s="42">
        <f>SUM(Timeline!AB78:AB81)+AA11</f>
        <v>10423</v>
      </c>
    </row>
    <row r="12" spans="1:57" x14ac:dyDescent="0.2">
      <c r="A12" s="42" t="s">
        <v>82</v>
      </c>
      <c r="O12" s="42">
        <f>'By Year'!B11</f>
        <v>-98</v>
      </c>
      <c r="P12" s="42">
        <f>'By Year'!C11</f>
        <v>636</v>
      </c>
      <c r="Q12" s="42">
        <f>'By Year'!D11</f>
        <v>1680</v>
      </c>
      <c r="R12" s="42">
        <f>'By Year'!E11</f>
        <v>2407</v>
      </c>
      <c r="S12" s="42">
        <f>'By Year'!F11</f>
        <v>3373</v>
      </c>
      <c r="T12" s="42">
        <f>'By Year'!G11</f>
        <v>3420</v>
      </c>
      <c r="U12" s="42">
        <f>'By Year'!H11</f>
        <v>4270</v>
      </c>
      <c r="V12" s="42">
        <f>'By Year'!I11</f>
        <v>5780</v>
      </c>
      <c r="W12" s="42">
        <f>'By Year'!J11</f>
        <v>5890</v>
      </c>
      <c r="X12" s="42">
        <f>'By Year'!K11</f>
        <v>6075</v>
      </c>
      <c r="Y12" s="42">
        <f>'By Year'!L11</f>
        <v>6035</v>
      </c>
      <c r="Z12" s="42">
        <f>'By Year'!M11</f>
        <v>6035</v>
      </c>
      <c r="AA12" s="42">
        <f>'By Year'!N11</f>
        <v>6113</v>
      </c>
      <c r="AB12" s="42">
        <f>'By Year'!O11</f>
        <v>5972</v>
      </c>
      <c r="AC12" s="42">
        <f>'By Year'!P11</f>
        <v>5934</v>
      </c>
      <c r="AD12" s="42">
        <f>'By Year'!Q11</f>
        <v>5919</v>
      </c>
    </row>
    <row r="13" spans="1:57" x14ac:dyDescent="0.2">
      <c r="A13" s="42" t="s">
        <v>87</v>
      </c>
      <c r="Q13" s="42">
        <f>'By Year'!B12</f>
        <v>-143</v>
      </c>
      <c r="R13" s="42">
        <f>'By Year'!C12</f>
        <v>-17</v>
      </c>
      <c r="S13" s="42">
        <f>'By Year'!D12</f>
        <v>775</v>
      </c>
      <c r="T13" s="42">
        <f>'By Year'!E12</f>
        <v>1026</v>
      </c>
      <c r="U13" s="42">
        <f>'By Year'!F12</f>
        <v>1790</v>
      </c>
      <c r="V13" s="42">
        <f>'By Year'!G12</f>
        <v>2358</v>
      </c>
      <c r="W13" s="42">
        <f>'By Year'!H12</f>
        <v>3122</v>
      </c>
      <c r="X13" s="42">
        <f>'By Year'!I12</f>
        <v>3745</v>
      </c>
      <c r="Y13" s="42">
        <f>'By Year'!J12</f>
        <v>4666</v>
      </c>
      <c r="Z13" s="42">
        <f>'By Year'!K12</f>
        <v>5484</v>
      </c>
      <c r="AA13" s="42">
        <f>'By Year'!L12</f>
        <v>6085</v>
      </c>
      <c r="AB13" s="42">
        <f>'By Year'!M12</f>
        <v>6145</v>
      </c>
      <c r="AC13" s="42">
        <f>'By Year'!N12</f>
        <v>6147</v>
      </c>
      <c r="AD13" s="42">
        <f>'By Year'!O12</f>
        <v>6568</v>
      </c>
    </row>
    <row r="14" spans="1:57" x14ac:dyDescent="0.2">
      <c r="A14" s="42" t="s">
        <v>90</v>
      </c>
      <c r="R14" s="42">
        <f>'By Year'!B13</f>
        <v>203</v>
      </c>
      <c r="S14" s="42">
        <f>'By Year'!C13</f>
        <v>700</v>
      </c>
      <c r="T14" s="42">
        <f>'By Year'!D13</f>
        <v>1485</v>
      </c>
      <c r="U14" s="42">
        <f>'By Year'!E13</f>
        <v>1778</v>
      </c>
      <c r="V14" s="42">
        <f>'By Year'!F13</f>
        <v>2243</v>
      </c>
      <c r="W14" s="42">
        <f>'By Year'!G13</f>
        <v>3369</v>
      </c>
      <c r="X14" s="42">
        <f>'By Year'!H13</f>
        <v>4108</v>
      </c>
      <c r="Y14" s="42">
        <f>'By Year'!I13</f>
        <v>5164</v>
      </c>
      <c r="Z14" s="42">
        <f>'By Year'!J13</f>
        <v>5431</v>
      </c>
      <c r="AA14" s="42">
        <f>'By Year'!K13</f>
        <v>5620</v>
      </c>
      <c r="AB14" s="42">
        <f>'By Year'!L13</f>
        <v>5701</v>
      </c>
      <c r="AC14" s="42">
        <f>'By Year'!M13</f>
        <v>6009</v>
      </c>
      <c r="AD14" s="42">
        <f>'By Year'!N13</f>
        <v>6446</v>
      </c>
      <c r="AE14" s="42">
        <f>'By Year'!O13</f>
        <v>6591</v>
      </c>
      <c r="AF14" s="42">
        <f>'By Year'!P13</f>
        <v>6591</v>
      </c>
      <c r="AG14" s="42">
        <f>'By Year'!Q13</f>
        <v>6740</v>
      </c>
    </row>
    <row r="15" spans="1:57" x14ac:dyDescent="0.2">
      <c r="A15" s="42" t="s">
        <v>65</v>
      </c>
      <c r="T15" s="42">
        <f>SUM(Timeline!T106:T109)</f>
        <v>-99</v>
      </c>
      <c r="U15" s="42">
        <f>SUM(Timeline!U106:U109)+T15</f>
        <v>-210</v>
      </c>
      <c r="V15" s="42">
        <f>SUM(Timeline!V106:V109)+U15</f>
        <v>170</v>
      </c>
      <c r="W15" s="42">
        <f>SUM(Timeline!W106:W109)+V15</f>
        <v>292</v>
      </c>
      <c r="X15" s="42">
        <f>SUM(Timeline!X106:X109)+W15</f>
        <v>952</v>
      </c>
      <c r="Y15" s="42">
        <f>SUM(Timeline!Y106:Y109)+X15</f>
        <v>1406</v>
      </c>
      <c r="Z15" s="42">
        <f>SUM(Timeline!Z106:Z109)+Y15</f>
        <v>2359</v>
      </c>
      <c r="AA15" s="42">
        <f>SUM(Timeline!AA106:AA109)+Z15</f>
        <v>2465</v>
      </c>
      <c r="AB15" s="42">
        <f>SUM(Timeline!AB106:AB109)+AA15</f>
        <v>3095</v>
      </c>
      <c r="AC15" s="42">
        <f>SUM(Timeline!AC106:AC109)+AB15</f>
        <v>4165</v>
      </c>
      <c r="AD15" s="42">
        <f>SUM(Timeline!AD106:AD109)+AC15</f>
        <v>4365</v>
      </c>
      <c r="AE15" s="42">
        <f>SUM(Timeline!AE106:AE109)+AD15</f>
        <v>4411</v>
      </c>
      <c r="AF15" s="42">
        <f>SUM(Timeline!AF106:AF109)+AE15</f>
        <v>4505</v>
      </c>
      <c r="AG15" s="42">
        <f>SUM(Timeline!AG106:AG109)+AF15</f>
        <v>5464</v>
      </c>
      <c r="AH15" s="42">
        <f>SUM(Timeline!AH106:AH109)+AG15</f>
        <v>6108</v>
      </c>
      <c r="AI15" s="42">
        <f>SUM(Timeline!AI106:AI109)+AH15</f>
        <v>7019</v>
      </c>
      <c r="AJ15" s="42">
        <f>SUM(Timeline!AJ106:AJ109)+AI15</f>
        <v>7291</v>
      </c>
      <c r="AK15" s="42">
        <f>SUM(Timeline!AK106:AK109)+AJ15</f>
        <v>8140</v>
      </c>
      <c r="AL15" s="42">
        <f>SUM(Timeline!AL106:AL109)+AK15</f>
        <v>8405</v>
      </c>
      <c r="AM15" s="42">
        <f>SUM(Timeline!AM106:AM109)+AL15</f>
        <v>8814</v>
      </c>
      <c r="AN15" s="42">
        <f>SUM(Timeline!AN106:AN109)+AM15</f>
        <v>8891</v>
      </c>
    </row>
    <row r="16" spans="1:57" s="62" customFormat="1" x14ac:dyDescent="0.2">
      <c r="A16" s="62" t="s">
        <v>111</v>
      </c>
      <c r="B16" s="76"/>
      <c r="C16" s="76"/>
      <c r="V16" s="62">
        <f>SUM(Timeline!V114:V117)</f>
        <v>3</v>
      </c>
      <c r="W16" s="62">
        <f>SUM(Timeline!W114:W117)+V16</f>
        <v>90</v>
      </c>
      <c r="X16" s="62">
        <f>SUM(Timeline!X114:X117)+W16</f>
        <v>36</v>
      </c>
      <c r="Y16" s="62">
        <f>SUM(Timeline!Y114:Y117)+X16</f>
        <v>1015</v>
      </c>
      <c r="Z16" s="62">
        <f>SUM(Timeline!Z114:Z117)+Y16</f>
        <v>2103</v>
      </c>
      <c r="AA16" s="62">
        <f>SUM(Timeline!AA114:AA117)+Z16</f>
        <v>3272</v>
      </c>
      <c r="AB16" s="62">
        <f>SUM(Timeline!AB114:AB117)+AA16</f>
        <v>3752</v>
      </c>
      <c r="AC16" s="62">
        <f>SUM(Timeline!AC114:AC117)+AB16</f>
        <v>4223</v>
      </c>
      <c r="AD16" s="62">
        <f>SUM(Timeline!AD114:AD117)+AC16</f>
        <v>4350</v>
      </c>
      <c r="AE16" s="62">
        <f>SUM(Timeline!AE114:AE117)+AD16</f>
        <v>4211</v>
      </c>
      <c r="AF16" s="62">
        <f>SUM(Timeline!AF114:AF117)+AE16</f>
        <v>4128</v>
      </c>
      <c r="AG16" s="62">
        <f>SUM(Timeline!AG114:AG117)+AF16</f>
        <v>4183</v>
      </c>
      <c r="AH16" s="62">
        <f>SUM(Timeline!AH114:AH117)+AG16</f>
        <v>4149</v>
      </c>
      <c r="BA16" s="112"/>
      <c r="BB16" s="123"/>
      <c r="BC16" s="138"/>
      <c r="BD16" s="138"/>
      <c r="BE16" s="138"/>
    </row>
    <row r="17" spans="1:57" x14ac:dyDescent="0.2">
      <c r="A17" s="42" t="s">
        <v>16</v>
      </c>
      <c r="V17" s="42">
        <f>SUM(Timeline!V118:V121)</f>
        <v>-69</v>
      </c>
      <c r="W17" s="42">
        <f>SUM(Timeline!W118:W121)+V17</f>
        <v>-106</v>
      </c>
      <c r="X17" s="42">
        <f>SUM(Timeline!X118:X121)+W17</f>
        <v>505</v>
      </c>
      <c r="Y17" s="42">
        <f>SUM(Timeline!Y118:Y121)+X17</f>
        <v>574</v>
      </c>
      <c r="Z17" s="42">
        <f>SUM(Timeline!Z118:Z121)+Y17</f>
        <v>1309</v>
      </c>
      <c r="AA17" s="42">
        <f>SUM(Timeline!AA118:AA121)+Z17</f>
        <v>2725</v>
      </c>
      <c r="AB17" s="42">
        <f>SUM(Timeline!AB118:AB121)+AA17</f>
        <v>3824</v>
      </c>
      <c r="AC17" s="42">
        <f>SUM(Timeline!AC118:AC121)+AB17</f>
        <v>4853</v>
      </c>
      <c r="AD17" s="42">
        <f>SUM(Timeline!AD118:AD121)+AC17</f>
        <v>5849</v>
      </c>
      <c r="AE17" s="42">
        <f>SUM(Timeline!AE118:AE121)+AD17</f>
        <v>6758</v>
      </c>
      <c r="AF17" s="42">
        <f>SUM(Timeline!AF118:AF121)+AE17</f>
        <v>7527</v>
      </c>
      <c r="AG17" s="42">
        <f>SUM(Timeline!AG118:AG121)+AF17</f>
        <v>7809</v>
      </c>
      <c r="AH17" s="42">
        <f>SUM(Timeline!AH118:AH121)+AG17</f>
        <v>8449</v>
      </c>
      <c r="AI17" s="42">
        <f>SUM(Timeline!AI118:AI121)+AH17</f>
        <v>8900</v>
      </c>
      <c r="AJ17" s="42">
        <f>SUM(Timeline!AJ118:AJ121)+AI17</f>
        <v>9391</v>
      </c>
    </row>
    <row r="18" spans="1:57" s="66" customFormat="1" x14ac:dyDescent="0.2">
      <c r="A18" s="66" t="s">
        <v>137</v>
      </c>
      <c r="B18" s="76"/>
      <c r="C18" s="76"/>
      <c r="AD18" s="66">
        <f>SUM(Timeline!AD138:AD141)</f>
        <v>-10</v>
      </c>
      <c r="AE18" s="66">
        <f>SUM(Timeline!AE138:AE141)+AD18</f>
        <v>399</v>
      </c>
      <c r="AF18" s="66">
        <f>SUM(Timeline!AF138:AF141)+AE18</f>
        <v>82</v>
      </c>
      <c r="AG18" s="66">
        <f>SUM(Timeline!AG138:AG141)+AF18</f>
        <v>266</v>
      </c>
      <c r="AH18" s="66">
        <f>SUM(Timeline!AH138:AH141)+AG18</f>
        <v>563</v>
      </c>
      <c r="AI18" s="66">
        <f>SUM(Timeline!AI138:AI141)+AH18</f>
        <v>1118</v>
      </c>
      <c r="AJ18" s="66">
        <f>SUM(Timeline!AJ138:AJ141)+AI18</f>
        <v>1314</v>
      </c>
      <c r="AK18" s="66">
        <f>SUM(Timeline!AK138:AK141)+AJ18</f>
        <v>1120</v>
      </c>
      <c r="AL18" s="66">
        <f>SUM(Timeline!AL138:AL141)+AK18</f>
        <v>1258</v>
      </c>
      <c r="AM18" s="66">
        <f>SUM(Timeline!AM138:AM141)+AL18</f>
        <v>1175</v>
      </c>
      <c r="AN18" s="66">
        <f>SUM(Timeline!AN138:AN141)+AM18</f>
        <v>1175</v>
      </c>
      <c r="AO18" s="66">
        <f>SUM(Timeline!AO138:AO141)+AN18</f>
        <v>1175</v>
      </c>
      <c r="AP18" s="66">
        <f>SUM(Timeline!AP138:AP141)+AO18</f>
        <v>1157</v>
      </c>
      <c r="BA18" s="112"/>
      <c r="BB18" s="123"/>
      <c r="BC18" s="138"/>
      <c r="BD18" s="138"/>
      <c r="BE18" s="138"/>
    </row>
    <row r="19" spans="1:57" s="88" customFormat="1" x14ac:dyDescent="0.2">
      <c r="A19" s="88" t="s">
        <v>190</v>
      </c>
      <c r="AE19" s="88">
        <f>SUM(Timeline!AE142:AE145)</f>
        <v>-64</v>
      </c>
      <c r="AF19" s="88">
        <f>SUM(Timeline!AF142:AF145)+AE19</f>
        <v>-118</v>
      </c>
      <c r="AG19" s="88">
        <f>SUM(Timeline!AG142:AG145)+AF19</f>
        <v>-136</v>
      </c>
      <c r="AH19" s="88">
        <f>SUM(Timeline!AH142:AH145)+AG19</f>
        <v>206</v>
      </c>
      <c r="AI19" s="88">
        <f>SUM(Timeline!AI142:AI145)+AH19</f>
        <v>903</v>
      </c>
      <c r="AJ19" s="88">
        <f>SUM(Timeline!AJ142:AJ145)+AI19</f>
        <v>1592</v>
      </c>
      <c r="AK19" s="88">
        <f>SUM(Timeline!AK142:AK145)+AJ19</f>
        <v>1758</v>
      </c>
      <c r="AL19" s="88">
        <f>SUM(Timeline!AL142:AL145)+AK19</f>
        <v>2544</v>
      </c>
      <c r="AM19" s="88">
        <f>SUM(Timeline!AM142:AM145)+AL19</f>
        <v>3421</v>
      </c>
      <c r="AN19" s="88">
        <f>SUM(Timeline!AN142:AN145)+AM19</f>
        <v>3864</v>
      </c>
      <c r="AO19" s="88">
        <f>SUM(Timeline!AO142:AO145)+AN19</f>
        <v>4098</v>
      </c>
      <c r="AP19" s="88">
        <f>SUM(Timeline!AP142:AP145)+AO19</f>
        <v>4431</v>
      </c>
      <c r="AQ19" s="88">
        <f>SUM(Timeline!AQ142:AQ145)+AP19</f>
        <v>4726</v>
      </c>
      <c r="AR19" s="88">
        <f>SUM(Timeline!AR142:AR145)+AQ19</f>
        <v>4877</v>
      </c>
      <c r="AS19" s="88">
        <f>SUM(Timeline!AS142:AS145)+AR19</f>
        <v>4893</v>
      </c>
      <c r="AT19" s="88">
        <f>SUM(Timeline!AT142:AT145)+AS19</f>
        <v>5020</v>
      </c>
      <c r="AU19" s="88">
        <f>SUM(Timeline!AU142:AU145)+AT19</f>
        <v>5062</v>
      </c>
      <c r="AV19" s="88">
        <f>SUM(Timeline!AV142:AV145)+AU19</f>
        <v>4971</v>
      </c>
      <c r="AW19" s="88">
        <f>SUM(Timeline!AW142:AW145)+AV19</f>
        <v>4816</v>
      </c>
      <c r="AX19" s="88">
        <f>SUM(Timeline!AX142:AX145)+AW19</f>
        <v>4809</v>
      </c>
      <c r="BA19" s="112"/>
      <c r="BB19" s="123"/>
      <c r="BC19" s="138"/>
      <c r="BD19" s="138"/>
      <c r="BE19" s="138"/>
    </row>
    <row r="20" spans="1:57" x14ac:dyDescent="0.2">
      <c r="A20" s="42" t="s">
        <v>11</v>
      </c>
      <c r="AG20" s="42">
        <f>SUM(Timeline!AG154:AG157)</f>
        <v>-61</v>
      </c>
      <c r="AH20" s="42">
        <f>SUM(Timeline!AH154:AH157)+AG20</f>
        <v>-44</v>
      </c>
      <c r="AI20" s="42">
        <f>SUM(Timeline!AI154:AI157)+AH20</f>
        <v>422</v>
      </c>
      <c r="AJ20" s="42">
        <f>SUM(Timeline!AJ154:AJ157)+AI20</f>
        <v>394</v>
      </c>
      <c r="AK20" s="42">
        <f>SUM(Timeline!AK154:AK157)+AJ20</f>
        <v>888</v>
      </c>
      <c r="AL20" s="42">
        <f>SUM(Timeline!AL154:AL157)+AK20</f>
        <v>2185</v>
      </c>
      <c r="AM20" s="42">
        <f>SUM(Timeline!AM154:AM157)+AL20</f>
        <v>3601</v>
      </c>
      <c r="AN20" s="42">
        <f>SUM(Timeline!AN154:AN157)+AM20</f>
        <v>5278</v>
      </c>
      <c r="AO20" s="42">
        <f>SUM(Timeline!AO154:AO157)+AN20</f>
        <v>7128</v>
      </c>
      <c r="AP20" s="42">
        <f>SUM(Timeline!AP154:AP157)+AO20</f>
        <v>8470</v>
      </c>
      <c r="AQ20" s="42">
        <f>SUM(Timeline!AQ154:AQ157)+AP20</f>
        <v>10329</v>
      </c>
      <c r="AR20" s="42">
        <f>SUM(Timeline!AR154:AR157)+AQ20</f>
        <v>11412</v>
      </c>
      <c r="AS20" s="42">
        <f>SUM(Timeline!AS154:AS157)+AR20</f>
        <v>12686</v>
      </c>
      <c r="AT20" s="42">
        <f>SUM(Timeline!AT154:AT157)+AS20</f>
        <v>13670</v>
      </c>
      <c r="AU20" s="42">
        <f>SUM(Timeline!AU154:AU157)+AT20</f>
        <v>14260</v>
      </c>
      <c r="AV20" s="42">
        <f>SUM(Timeline!AV154:AV157)+AU20</f>
        <v>15181</v>
      </c>
      <c r="AW20" s="42">
        <f>SUM(Timeline!AW154:AW157)+AV20</f>
        <v>16256</v>
      </c>
      <c r="AX20" s="42">
        <f>SUM(Timeline!AX154:AX157)+AW20</f>
        <v>16826</v>
      </c>
      <c r="AY20" s="42">
        <f>SUM(Timeline!AY154:AY157)+AX20</f>
        <v>17969</v>
      </c>
      <c r="AZ20" s="42">
        <f>SUM(Timeline!AZ154:AZ157)+AY20</f>
        <v>18666</v>
      </c>
      <c r="BA20" s="112">
        <f>SUM(Timeline!BA154:BA157)+AZ20</f>
        <v>19277</v>
      </c>
      <c r="BB20" s="123">
        <f>SUM(Timeline!BB154:BB157)+BA20</f>
        <v>19466</v>
      </c>
      <c r="BC20" s="138">
        <f>SUM(Timeline!BC154:BC157)+BB20</f>
        <v>19808</v>
      </c>
    </row>
    <row r="21" spans="1:57" s="92" customFormat="1" x14ac:dyDescent="0.2">
      <c r="A21" s="92" t="s">
        <v>192</v>
      </c>
      <c r="AH21" s="92">
        <f>SUM(Timeline!AH158:AH161)</f>
        <v>-24</v>
      </c>
      <c r="AI21" s="92">
        <f>SUM(Timeline!AI158:AI161)+AH21</f>
        <v>182</v>
      </c>
      <c r="AJ21" s="92">
        <f>SUM(Timeline!AJ158:AJ161)+AI21</f>
        <v>336</v>
      </c>
      <c r="AK21" s="92">
        <f>SUM(Timeline!AK158:AK161)+AJ21</f>
        <v>1287</v>
      </c>
      <c r="AL21" s="92">
        <f>SUM(Timeline!AL158:AL161)+AK21</f>
        <v>1799</v>
      </c>
      <c r="AM21" s="92">
        <f>SUM(Timeline!AM158:AM161)+AL21</f>
        <v>2260</v>
      </c>
      <c r="AN21" s="92">
        <f>SUM(Timeline!AN158:AN161)+AM21</f>
        <v>2470</v>
      </c>
      <c r="AO21" s="92">
        <f>SUM(Timeline!AO158:AO161)+AN21</f>
        <v>2943</v>
      </c>
      <c r="AP21" s="92">
        <f>SUM(Timeline!AP158:AP161)+AO21</f>
        <v>3226</v>
      </c>
      <c r="AQ21" s="92">
        <f>SUM(Timeline!AQ158:AQ161)+AP21</f>
        <v>3944</v>
      </c>
      <c r="AR21" s="92">
        <f>SUM(Timeline!AR158:AR161)+AQ21</f>
        <v>4138</v>
      </c>
      <c r="AS21" s="92">
        <f>SUM(Timeline!AS158:AS161)+AR21</f>
        <v>4283</v>
      </c>
      <c r="AT21" s="92">
        <f>SUM(Timeline!AT158:AT161)+AS21</f>
        <v>4240</v>
      </c>
      <c r="BA21" s="112"/>
      <c r="BB21" s="123"/>
      <c r="BC21" s="138"/>
      <c r="BD21" s="138"/>
      <c r="BE21" s="138"/>
    </row>
    <row r="22" spans="1:57" x14ac:dyDescent="0.2">
      <c r="A22" s="42" t="s">
        <v>12</v>
      </c>
      <c r="AK22" s="42">
        <f>SUM(Timeline!AK162:AK165)</f>
        <v>32</v>
      </c>
      <c r="AL22" s="42">
        <f>SUM(Timeline!AL162:AL165)+AK22</f>
        <v>30</v>
      </c>
      <c r="AM22" s="42">
        <f>SUM(Timeline!AM162:AM165)+AL22</f>
        <v>588</v>
      </c>
      <c r="AN22" s="42">
        <f>SUM(Timeline!AN162:AN165)+AM22</f>
        <v>1323</v>
      </c>
      <c r="AO22" s="42">
        <f>SUM(Timeline!AO162:AO165)+AN22</f>
        <v>2546</v>
      </c>
      <c r="AP22" s="42">
        <f>SUM(Timeline!AP162:AP165)+AO22</f>
        <v>3817</v>
      </c>
      <c r="AQ22" s="42">
        <f>SUM(Timeline!AQ162:AQ165)+AP22</f>
        <v>4657</v>
      </c>
      <c r="AR22" s="42">
        <f>SUM(Timeline!AR162:AR165)+AQ22</f>
        <v>6331</v>
      </c>
      <c r="AS22" s="42">
        <f>SUM(Timeline!AS162:AS165)+AR22</f>
        <v>7547</v>
      </c>
      <c r="AT22" s="42">
        <f>SUM(Timeline!AT162:AT165)+AS22</f>
        <v>8249</v>
      </c>
      <c r="AU22" s="42">
        <f>SUM(Timeline!AU162:AU165)+AT22</f>
        <v>9166</v>
      </c>
      <c r="AV22" s="42">
        <f>SUM(Timeline!AV162:AV165)+AU22</f>
        <v>10030</v>
      </c>
      <c r="AW22" s="42">
        <f>SUM(Timeline!AW162:AW165)+AV22</f>
        <v>10287</v>
      </c>
      <c r="AX22" s="42">
        <f>SUM(Timeline!AX162:AX165)+AW22</f>
        <v>10231</v>
      </c>
      <c r="AY22" s="42">
        <f>SUM(Timeline!AY162:AY165)+AX22</f>
        <v>11671</v>
      </c>
      <c r="AZ22" s="42">
        <f>SUM(Timeline!AZ162:AZ165)+AY22</f>
        <v>12766</v>
      </c>
      <c r="BA22" s="112">
        <f>SUM(Timeline!BA162:BA165)+AZ22</f>
        <v>14128</v>
      </c>
      <c r="BB22" s="123">
        <f>SUM(Timeline!BB162:BB165)+BA22</f>
        <v>14666</v>
      </c>
      <c r="BC22" s="138">
        <f>SUM(Timeline!BC162:BC165)+BB22</f>
        <v>15161</v>
      </c>
      <c r="BD22" s="138">
        <f>SUM(Timeline!BD162:BD165)+BC22</f>
        <v>16496</v>
      </c>
      <c r="BE22" s="138">
        <f>SUM(Timeline!BE162:BE165)+BD22</f>
        <v>16493</v>
      </c>
    </row>
    <row r="23" spans="1:57" x14ac:dyDescent="0.2">
      <c r="A23" s="42" t="s">
        <v>17</v>
      </c>
      <c r="AM23" s="42">
        <f>SUM(Timeline!AM166:AM169)</f>
        <v>146</v>
      </c>
      <c r="AN23" s="42">
        <f>SUM(Timeline!AN166:AN169)+AM23</f>
        <v>585</v>
      </c>
      <c r="AO23" s="42">
        <f>SUM(Timeline!AO166:AO169)+AN23</f>
        <v>1428</v>
      </c>
      <c r="AP23" s="42">
        <f>SUM(Timeline!AP166:AP169)+AO23</f>
        <v>2283</v>
      </c>
      <c r="AQ23" s="42">
        <f>SUM(Timeline!AQ166:AQ169)+AP23</f>
        <v>2665</v>
      </c>
      <c r="AR23" s="42">
        <f>SUM(Timeline!AR166:AR169)+AQ23</f>
        <v>3434</v>
      </c>
      <c r="AS23" s="42">
        <f>SUM(Timeline!AS166:AS169)+AR23</f>
        <v>5290</v>
      </c>
      <c r="AT23" s="42">
        <f>SUM(Timeline!AT166:AT169)+AS23</f>
        <v>6724</v>
      </c>
      <c r="AU23" s="42">
        <f>SUM(Timeline!AU166:AU169)+AT23</f>
        <v>8329</v>
      </c>
      <c r="AV23" s="42">
        <f>SUM(Timeline!AV166:AV169)+AU23</f>
        <v>9772</v>
      </c>
      <c r="AW23" s="42">
        <f>SUM(Timeline!AW166:AW169)+AV23</f>
        <v>11678</v>
      </c>
      <c r="AX23" s="42">
        <f>SUM(Timeline!AX166:AX169)+AW23</f>
        <v>13010</v>
      </c>
      <c r="AY23" s="42">
        <f>SUM(Timeline!AY166:AY169)+AX23</f>
        <v>13282</v>
      </c>
      <c r="AZ23" s="42">
        <f>SUM(Timeline!AZ166:AZ169)+AY23</f>
        <v>14472</v>
      </c>
      <c r="BA23" s="112">
        <f>SUM(Timeline!BA166:BA169)+AZ23</f>
        <v>15647</v>
      </c>
      <c r="BB23" s="123">
        <f>SUM(Timeline!BB166:BB169)+BA23</f>
        <v>16586</v>
      </c>
      <c r="BC23" s="138">
        <f>SUM(Timeline!BC166:BC169)+BB23</f>
        <v>18104</v>
      </c>
      <c r="BD23" s="138">
        <f>SUM(Timeline!BD166:BD169)+BC23</f>
        <v>18665</v>
      </c>
      <c r="BE23" s="138">
        <f>SUM(Timeline!BE166:BE169)+BD23</f>
        <v>20305</v>
      </c>
    </row>
    <row r="25" spans="1:57" ht="12" customHeight="1" x14ac:dyDescent="0.2">
      <c r="A25" s="197" t="s">
        <v>98</v>
      </c>
      <c r="B25" s="198" t="s">
        <v>161</v>
      </c>
      <c r="C25" s="198"/>
      <c r="D25" s="198" t="s">
        <v>162</v>
      </c>
      <c r="E25" s="198"/>
      <c r="F25" s="198" t="s">
        <v>103</v>
      </c>
      <c r="G25" s="197" t="s">
        <v>203</v>
      </c>
      <c r="H25" s="197"/>
      <c r="I25" s="197"/>
    </row>
    <row r="26" spans="1:57" ht="12" customHeight="1" x14ac:dyDescent="0.2">
      <c r="A26" s="197"/>
      <c r="B26" s="198" t="s">
        <v>70</v>
      </c>
      <c r="C26" s="198"/>
      <c r="D26" s="198" t="s">
        <v>99</v>
      </c>
      <c r="E26" s="198"/>
      <c r="F26" s="198"/>
      <c r="G26" s="197"/>
      <c r="H26" s="197"/>
      <c r="I26" s="197"/>
    </row>
    <row r="27" spans="1:57" x14ac:dyDescent="0.2">
      <c r="A27" s="197"/>
      <c r="B27" s="198" t="s">
        <v>82</v>
      </c>
      <c r="C27" s="198"/>
      <c r="D27" s="198" t="s">
        <v>100</v>
      </c>
      <c r="E27" s="198"/>
      <c r="F27" s="198"/>
      <c r="G27" s="197"/>
      <c r="H27" s="197"/>
      <c r="I27" s="197"/>
    </row>
    <row r="28" spans="1:57" x14ac:dyDescent="0.2">
      <c r="A28" s="197"/>
      <c r="B28" s="198" t="s">
        <v>90</v>
      </c>
      <c r="C28" s="198"/>
      <c r="D28" s="198" t="s">
        <v>101</v>
      </c>
      <c r="E28" s="198"/>
      <c r="F28" s="198"/>
      <c r="G28" s="197"/>
      <c r="H28" s="197"/>
      <c r="I28" s="197"/>
    </row>
    <row r="29" spans="1:57" x14ac:dyDescent="0.2">
      <c r="A29" s="197"/>
      <c r="B29" s="198" t="s">
        <v>106</v>
      </c>
      <c r="C29" s="198"/>
      <c r="D29" s="198" t="s">
        <v>108</v>
      </c>
      <c r="E29" s="198"/>
    </row>
    <row r="30" spans="1:57" x14ac:dyDescent="0.2">
      <c r="A30" s="197"/>
      <c r="B30" s="198" t="s">
        <v>111</v>
      </c>
      <c r="C30" s="198"/>
      <c r="D30" s="198" t="s">
        <v>101</v>
      </c>
      <c r="E30" s="198"/>
    </row>
    <row r="31" spans="1:57" x14ac:dyDescent="0.2">
      <c r="A31" s="197"/>
      <c r="B31" s="198" t="s">
        <v>137</v>
      </c>
      <c r="C31" s="198"/>
      <c r="D31" s="198" t="s">
        <v>140</v>
      </c>
      <c r="E31" s="198"/>
    </row>
    <row r="32" spans="1:57" x14ac:dyDescent="0.2">
      <c r="A32" s="197"/>
      <c r="B32" s="198" t="s">
        <v>151</v>
      </c>
      <c r="C32" s="198"/>
      <c r="D32" s="198" t="s">
        <v>156</v>
      </c>
      <c r="E32" s="198"/>
    </row>
    <row r="33" spans="1:5" x14ac:dyDescent="0.2">
      <c r="A33" s="197"/>
      <c r="B33" s="198" t="s">
        <v>155</v>
      </c>
      <c r="C33" s="198"/>
      <c r="D33" s="198" t="s">
        <v>156</v>
      </c>
      <c r="E33" s="198"/>
    </row>
    <row r="34" spans="1:5" x14ac:dyDescent="0.2">
      <c r="A34" s="197"/>
      <c r="B34" s="198" t="s">
        <v>160</v>
      </c>
      <c r="C34" s="198"/>
      <c r="D34" s="198" t="s">
        <v>108</v>
      </c>
      <c r="E34" s="198"/>
    </row>
    <row r="35" spans="1:5" x14ac:dyDescent="0.2">
      <c r="A35" s="197"/>
      <c r="B35" s="198" t="s">
        <v>188</v>
      </c>
      <c r="C35" s="198"/>
      <c r="D35" s="198" t="s">
        <v>156</v>
      </c>
      <c r="E35" s="198"/>
    </row>
    <row r="36" spans="1:5" x14ac:dyDescent="0.2">
      <c r="A36" s="197"/>
      <c r="B36" s="198" t="s">
        <v>186</v>
      </c>
      <c r="C36" s="198"/>
      <c r="D36" s="198" t="s">
        <v>108</v>
      </c>
      <c r="E36" s="198"/>
    </row>
    <row r="37" spans="1:5" x14ac:dyDescent="0.2">
      <c r="A37" s="197"/>
      <c r="B37" s="198" t="s">
        <v>190</v>
      </c>
      <c r="C37" s="198"/>
      <c r="D37" s="198" t="s">
        <v>140</v>
      </c>
      <c r="E37" s="198"/>
    </row>
  </sheetData>
  <mergeCells count="29">
    <mergeCell ref="D37:E37"/>
    <mergeCell ref="B36:C36"/>
    <mergeCell ref="D36:E36"/>
    <mergeCell ref="A25:A37"/>
    <mergeCell ref="B37:C37"/>
    <mergeCell ref="B34:C34"/>
    <mergeCell ref="D34:E34"/>
    <mergeCell ref="D26:E26"/>
    <mergeCell ref="B26:C26"/>
    <mergeCell ref="B27:C27"/>
    <mergeCell ref="D27:E27"/>
    <mergeCell ref="B28:C28"/>
    <mergeCell ref="D28:E28"/>
    <mergeCell ref="B29:C29"/>
    <mergeCell ref="B32:C32"/>
    <mergeCell ref="D32:E32"/>
    <mergeCell ref="B31:C31"/>
    <mergeCell ref="D31:E31"/>
    <mergeCell ref="D35:E35"/>
    <mergeCell ref="B33:C33"/>
    <mergeCell ref="D33:E33"/>
    <mergeCell ref="B35:C35"/>
    <mergeCell ref="G25:I28"/>
    <mergeCell ref="F25:F28"/>
    <mergeCell ref="D29:E29"/>
    <mergeCell ref="B30:C30"/>
    <mergeCell ref="D30:E30"/>
    <mergeCell ref="B25:C25"/>
    <mergeCell ref="D25:E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37"/>
  <sheetViews>
    <sheetView zoomScaleNormal="100" workbookViewId="0">
      <selection activeCell="S37" sqref="S37"/>
    </sheetView>
  </sheetViews>
  <sheetFormatPr baseColWidth="10" defaultColWidth="10.83203125" defaultRowHeight="16" x14ac:dyDescent="0.2"/>
  <cols>
    <col min="1" max="1" width="3.6640625" style="94" customWidth="1"/>
    <col min="2" max="2" width="9.1640625" style="94" customWidth="1"/>
    <col min="3" max="4" width="6.1640625" style="94" customWidth="1"/>
    <col min="5" max="5" width="6" style="94" customWidth="1"/>
    <col min="6" max="6" width="10.83203125" style="94"/>
    <col min="7" max="7" width="4" style="94" customWidth="1"/>
    <col min="8" max="8" width="8.5" style="94" customWidth="1"/>
    <col min="9" max="18" width="5.1640625" style="94" customWidth="1"/>
    <col min="19" max="19" width="7.33203125" style="94" customWidth="1"/>
    <col min="20" max="20" width="10.83203125" style="94"/>
    <col min="21" max="21" width="4" style="94" customWidth="1"/>
    <col min="22" max="22" width="8.5" style="94" customWidth="1"/>
    <col min="23" max="32" width="5.1640625" style="94" customWidth="1"/>
    <col min="33" max="33" width="7.33203125" style="94" customWidth="1"/>
    <col min="34" max="16384" width="10.83203125" style="94"/>
  </cols>
  <sheetData>
    <row r="1" spans="1:33" x14ac:dyDescent="0.2">
      <c r="A1" s="199" t="s">
        <v>22</v>
      </c>
      <c r="B1" s="199"/>
      <c r="C1" s="199" t="s">
        <v>193</v>
      </c>
      <c r="D1" s="199"/>
      <c r="E1" s="199"/>
      <c r="G1" s="199" t="s">
        <v>22</v>
      </c>
      <c r="H1" s="199"/>
      <c r="I1" s="199" t="s">
        <v>195</v>
      </c>
      <c r="J1" s="199"/>
      <c r="K1" s="199"/>
      <c r="L1" s="199"/>
      <c r="M1" s="199"/>
      <c r="N1" s="199"/>
      <c r="O1" s="199"/>
      <c r="P1" s="199"/>
      <c r="Q1" s="199"/>
      <c r="R1" s="199"/>
      <c r="S1" s="199"/>
      <c r="U1" s="199" t="s">
        <v>22</v>
      </c>
      <c r="V1" s="199"/>
      <c r="W1" s="199" t="s">
        <v>196</v>
      </c>
      <c r="X1" s="199"/>
      <c r="Y1" s="199"/>
      <c r="Z1" s="199"/>
      <c r="AA1" s="199"/>
      <c r="AB1" s="199"/>
      <c r="AC1" s="199"/>
      <c r="AD1" s="199"/>
      <c r="AE1" s="199"/>
      <c r="AF1" s="199"/>
      <c r="AG1" s="199"/>
    </row>
    <row r="2" spans="1:33" x14ac:dyDescent="0.2">
      <c r="A2" s="199"/>
      <c r="B2" s="199"/>
      <c r="C2" s="94">
        <v>1968</v>
      </c>
      <c r="D2" s="94">
        <v>1969</v>
      </c>
      <c r="E2" s="94" t="s">
        <v>194</v>
      </c>
      <c r="G2" s="199"/>
      <c r="H2" s="199"/>
      <c r="I2" s="94">
        <v>1970</v>
      </c>
      <c r="J2" s="94">
        <v>1971</v>
      </c>
      <c r="K2" s="94">
        <v>1972</v>
      </c>
      <c r="L2" s="94">
        <v>1973</v>
      </c>
      <c r="M2" s="94">
        <v>1974</v>
      </c>
      <c r="N2" s="94">
        <v>1975</v>
      </c>
      <c r="O2" s="94">
        <v>1976</v>
      </c>
      <c r="P2" s="94">
        <v>1977</v>
      </c>
      <c r="Q2" s="94">
        <v>1978</v>
      </c>
      <c r="R2" s="94">
        <v>1979</v>
      </c>
      <c r="S2" s="94" t="s">
        <v>194</v>
      </c>
      <c r="U2" s="199"/>
      <c r="V2" s="199"/>
      <c r="W2" s="94">
        <v>1980</v>
      </c>
      <c r="X2" s="94">
        <v>1981</v>
      </c>
      <c r="Y2" s="94">
        <v>1982</v>
      </c>
      <c r="Z2" s="94">
        <v>1983</v>
      </c>
      <c r="AA2" s="94">
        <v>1984</v>
      </c>
      <c r="AB2" s="94">
        <v>1985</v>
      </c>
      <c r="AC2" s="94">
        <v>1986</v>
      </c>
      <c r="AD2" s="94">
        <v>1987</v>
      </c>
      <c r="AE2" s="94">
        <v>1988</v>
      </c>
      <c r="AF2" s="94">
        <v>1989</v>
      </c>
      <c r="AG2" s="94" t="s">
        <v>194</v>
      </c>
    </row>
    <row r="3" spans="1:33" x14ac:dyDescent="0.2">
      <c r="A3" s="94">
        <f>RANK(E3,E$3:E$9)</f>
        <v>1</v>
      </c>
      <c r="B3" s="94" t="str">
        <f>'By Date'!A2</f>
        <v>Laver</v>
      </c>
      <c r="C3" s="94">
        <f>'By Date'!B2</f>
        <v>941</v>
      </c>
      <c r="D3" s="94">
        <f>'By Date'!C2-C3</f>
        <v>2026</v>
      </c>
      <c r="E3" s="94">
        <f t="shared" ref="E3:E7" si="0">SUM(C3:D3)</f>
        <v>2967</v>
      </c>
      <c r="G3" s="94">
        <f t="shared" ref="G3:G12" si="1">RANK(S3,S$3:S$12)</f>
        <v>1</v>
      </c>
      <c r="H3" s="94" t="str">
        <f>'By Date'!A8</f>
        <v>Connors</v>
      </c>
      <c r="I3" s="94">
        <f>IF('By Date'!D8=0,0, 'By Date'!D8-'By Date'!C8)</f>
        <v>-18</v>
      </c>
      <c r="J3" s="94">
        <f>IF('By Date'!E8=0,0, 'By Date'!E8-'By Date'!D8)</f>
        <v>-43</v>
      </c>
      <c r="K3" s="94">
        <f>IF('By Date'!F8=0,0, 'By Date'!F8-'By Date'!E8)</f>
        <v>207</v>
      </c>
      <c r="L3" s="94">
        <f>IF('By Date'!G8=0,0, 'By Date'!G8-'By Date'!F8)</f>
        <v>166</v>
      </c>
      <c r="M3" s="94">
        <f>IF('By Date'!H8=0,0, 'By Date'!H8-'By Date'!G8)</f>
        <v>1374</v>
      </c>
      <c r="N3" s="94">
        <f>IF('By Date'!I8=0,0, 'By Date'!I8-'By Date'!H8)</f>
        <v>952</v>
      </c>
      <c r="O3" s="94">
        <f>IF('By Date'!J8=0,0, 'By Date'!J8-'By Date'!I8)</f>
        <v>539</v>
      </c>
      <c r="P3" s="94">
        <f>IF('By Date'!K8=0,0, 'By Date'!K8-'By Date'!J8)</f>
        <v>683</v>
      </c>
      <c r="Q3" s="94">
        <f>IF('By Date'!L8=0,0, 'By Date'!L8-'By Date'!K8)</f>
        <v>927</v>
      </c>
      <c r="R3" s="94">
        <f>IF('By Date'!M8=0,0, 'By Date'!M8-'By Date'!L8)</f>
        <v>806</v>
      </c>
      <c r="S3" s="94">
        <f t="shared" ref="S3:S8" si="2">SUM(I3:R3)</f>
        <v>5593</v>
      </c>
      <c r="U3" s="94">
        <f t="shared" ref="U3:U8" si="3">RANK(AG3,AG$3:AG$15)</f>
        <v>1</v>
      </c>
      <c r="V3" s="94" t="str">
        <f>'By Date'!A11</f>
        <v>Lendl</v>
      </c>
      <c r="W3" s="94">
        <f>IF('By Date'!N11=0,0, 'By Date'!N11-'By Date'!M11)</f>
        <v>213</v>
      </c>
      <c r="X3" s="94">
        <f>IF('By Date'!O11=0,0, 'By Date'!O11-'By Date'!N11)</f>
        <v>333</v>
      </c>
      <c r="Y3" s="94">
        <f>IF('By Date'!P11=0,0, 'By Date'!P11-'By Date'!O11)</f>
        <v>422</v>
      </c>
      <c r="Z3" s="94">
        <f>IF('By Date'!Q11=0,0, 'By Date'!Q11-'By Date'!P11)</f>
        <v>981</v>
      </c>
      <c r="AA3" s="94">
        <f>IF('By Date'!R11=0,0, 'By Date'!R11-'By Date'!Q11)</f>
        <v>1217</v>
      </c>
      <c r="AB3" s="94">
        <f>IF('By Date'!S11=0,0, 'By Date'!S11-'By Date'!R11)</f>
        <v>937</v>
      </c>
      <c r="AC3" s="94">
        <f>IF('By Date'!T11=0,0, 'By Date'!T11-'By Date'!S11)</f>
        <v>1249</v>
      </c>
      <c r="AD3" s="94">
        <f>IF('By Date'!U11=0,0, 'By Date'!U11-'By Date'!T11)</f>
        <v>1484</v>
      </c>
      <c r="AE3" s="94">
        <f>IF('By Date'!V11=0,0, 'By Date'!V11-'By Date'!U11)</f>
        <v>918</v>
      </c>
      <c r="AF3" s="94">
        <f>IF('By Date'!W11=0,0, 'By Date'!W11-'By Date'!V11)</f>
        <v>1152</v>
      </c>
      <c r="AG3" s="94">
        <f t="shared" ref="AG3:AG14" si="4">SUM(W3:AF3)</f>
        <v>8906</v>
      </c>
    </row>
    <row r="4" spans="1:33" x14ac:dyDescent="0.2">
      <c r="A4" s="94">
        <f>RANK(E4,E$3:E$9)</f>
        <v>2</v>
      </c>
      <c r="B4" s="94" t="str">
        <f>'By Date'!A3</f>
        <v>Rosewall</v>
      </c>
      <c r="C4" s="94">
        <f>'By Date'!B3</f>
        <v>855</v>
      </c>
      <c r="D4" s="94">
        <f>'By Date'!C3-C4</f>
        <v>644</v>
      </c>
      <c r="E4" s="94">
        <f t="shared" si="0"/>
        <v>1499</v>
      </c>
      <c r="G4" s="94">
        <f t="shared" si="1"/>
        <v>2</v>
      </c>
      <c r="H4" s="94" t="str">
        <f>'By Date'!A9</f>
        <v>Borg</v>
      </c>
      <c r="I4" s="94">
        <f>IF('By Date'!D9=0,0, 'By Date'!D9-'By Date'!C9)</f>
        <v>0</v>
      </c>
      <c r="J4" s="94">
        <f>IF('By Date'!E9=0,0, 'By Date'!E9-'By Date'!D9)</f>
        <v>0</v>
      </c>
      <c r="K4" s="94">
        <f>IF('By Date'!F9=0,0, 'By Date'!F9-'By Date'!E9)</f>
        <v>0</v>
      </c>
      <c r="L4" s="94">
        <f>IF('By Date'!G9=0,0, 'By Date'!G9-'By Date'!F9)</f>
        <v>358</v>
      </c>
      <c r="M4" s="94">
        <f>IF('By Date'!H9=0,0, 'By Date'!H9-'By Date'!G9)</f>
        <v>352</v>
      </c>
      <c r="N4" s="94">
        <f>IF('By Date'!I9=0,0, 'By Date'!I9-'By Date'!H9)</f>
        <v>929</v>
      </c>
      <c r="O4" s="94">
        <f>IF('By Date'!J9=0,0, 'By Date'!J9-'By Date'!I9)</f>
        <v>990</v>
      </c>
      <c r="P4" s="94">
        <f>IF('By Date'!K9=0,0, 'By Date'!K9-'By Date'!J9)</f>
        <v>575</v>
      </c>
      <c r="Q4" s="94">
        <f>IF('By Date'!L9=0,0, 'By Date'!L9-'By Date'!K9)</f>
        <v>1292</v>
      </c>
      <c r="R4" s="94">
        <f>IF('By Date'!M9=0,0, 'By Date'!M9-'By Date'!L9)</f>
        <v>934</v>
      </c>
      <c r="S4" s="94">
        <f t="shared" si="2"/>
        <v>5430</v>
      </c>
      <c r="U4" s="94">
        <f t="shared" si="3"/>
        <v>2</v>
      </c>
      <c r="V4" s="94" t="str">
        <f>'By Date'!A12</f>
        <v>Wilander</v>
      </c>
      <c r="W4" s="94">
        <f>IF('By Date'!N12=0,0, 'By Date'!N12-'By Date'!M12)</f>
        <v>0</v>
      </c>
      <c r="X4" s="94">
        <f>IF('By Date'!O12=0,0, 'By Date'!O12-'By Date'!N12)</f>
        <v>-98</v>
      </c>
      <c r="Y4" s="94">
        <f>IF('By Date'!P12=0,0, 'By Date'!P12-'By Date'!O12)</f>
        <v>734</v>
      </c>
      <c r="Z4" s="94">
        <f>IF('By Date'!Q12=0,0, 'By Date'!Q12-'By Date'!P12)</f>
        <v>1044</v>
      </c>
      <c r="AA4" s="94">
        <f>IF('By Date'!R12=0,0, 'By Date'!R12-'By Date'!Q12)</f>
        <v>727</v>
      </c>
      <c r="AB4" s="94">
        <f>IF('By Date'!S12=0,0, 'By Date'!S12-'By Date'!R12)</f>
        <v>966</v>
      </c>
      <c r="AC4" s="94">
        <f>IF('By Date'!T12=0,0, 'By Date'!T12-'By Date'!S12)</f>
        <v>47</v>
      </c>
      <c r="AD4" s="94">
        <f>IF('By Date'!U12=0,0, 'By Date'!U12-'By Date'!T12)</f>
        <v>850</v>
      </c>
      <c r="AE4" s="94">
        <f>IF('By Date'!V12=0,0, 'By Date'!V12-'By Date'!U12)</f>
        <v>1510</v>
      </c>
      <c r="AF4" s="94">
        <f>IF('By Date'!W12=0,0, 'By Date'!W12-'By Date'!V12)</f>
        <v>110</v>
      </c>
      <c r="AG4" s="94">
        <f t="shared" si="4"/>
        <v>5890</v>
      </c>
    </row>
    <row r="5" spans="1:33" x14ac:dyDescent="0.2">
      <c r="A5" s="94">
        <f>RANK(E5,E$3:E$9)</f>
        <v>3</v>
      </c>
      <c r="B5" s="94" t="str">
        <f>'By Date'!A5</f>
        <v>Ashe</v>
      </c>
      <c r="C5" s="94">
        <f>'By Date'!B5</f>
        <v>796</v>
      </c>
      <c r="D5" s="94">
        <f>'By Date'!C5-C5</f>
        <v>626</v>
      </c>
      <c r="E5" s="94">
        <f t="shared" si="0"/>
        <v>1422</v>
      </c>
      <c r="G5" s="94">
        <f t="shared" si="1"/>
        <v>3</v>
      </c>
      <c r="H5" s="94" t="str">
        <f>'By Date'!A7</f>
        <v>Vilas</v>
      </c>
      <c r="I5" s="94">
        <f>IF('By Date'!D7=0,0, 'By Date'!D7-'By Date'!C7)</f>
        <v>-99</v>
      </c>
      <c r="J5" s="94">
        <f>IF('By Date'!E7=0,0, 'By Date'!E7-'By Date'!D7)</f>
        <v>0</v>
      </c>
      <c r="K5" s="94">
        <f>IF('By Date'!F7=0,0, 'By Date'!F7-'By Date'!E7)</f>
        <v>-3</v>
      </c>
      <c r="L5" s="94">
        <f>IF('By Date'!G7=0,0, 'By Date'!G7-'By Date'!F7)</f>
        <v>-16</v>
      </c>
      <c r="M5" s="94">
        <f>IF('By Date'!H7=0,0, 'By Date'!H7-'By Date'!G7)</f>
        <v>160</v>
      </c>
      <c r="N5" s="94">
        <f>IF('By Date'!I7=0,0, 'By Date'!I7-'By Date'!H7)</f>
        <v>705</v>
      </c>
      <c r="O5" s="94">
        <f>IF('By Date'!J7=0,0, 'By Date'!J7-'By Date'!I7)</f>
        <v>540</v>
      </c>
      <c r="P5" s="94">
        <f>IF('By Date'!K7=0,0, 'By Date'!K7-'By Date'!J7)</f>
        <v>1150</v>
      </c>
      <c r="Q5" s="94">
        <f>IF('By Date'!L7=0,0, 'By Date'!L7-'By Date'!K7)</f>
        <v>755</v>
      </c>
      <c r="R5" s="94">
        <f>IF('By Date'!M7=0,0, 'By Date'!M7-'By Date'!L7)</f>
        <v>620</v>
      </c>
      <c r="S5" s="94">
        <f t="shared" si="2"/>
        <v>3812</v>
      </c>
      <c r="U5" s="94">
        <f t="shared" si="3"/>
        <v>3</v>
      </c>
      <c r="V5" s="94" t="str">
        <f>'By Date'!A10</f>
        <v>McEnroe</v>
      </c>
      <c r="W5" s="94">
        <f>IF('By Date'!N10=0,0, 'By Date'!N10-'By Date'!M10)</f>
        <v>715</v>
      </c>
      <c r="X5" s="94">
        <f>IF('By Date'!O10=0,0, 'By Date'!O10-'By Date'!N10)</f>
        <v>1122</v>
      </c>
      <c r="Y5" s="94">
        <f>IF('By Date'!P10=0,0, 'By Date'!P10-'By Date'!O10)</f>
        <v>578</v>
      </c>
      <c r="Z5" s="94">
        <f>IF('By Date'!Q10=0,0, 'By Date'!Q10-'By Date'!P10)</f>
        <v>624</v>
      </c>
      <c r="AA5" s="94">
        <f>IF('By Date'!R10=0,0, 'By Date'!R10-'By Date'!Q10)</f>
        <v>1303</v>
      </c>
      <c r="AB5" s="94">
        <f>IF('By Date'!S10=0,0, 'By Date'!S10-'By Date'!R10)</f>
        <v>608</v>
      </c>
      <c r="AC5" s="94">
        <f>IF('By Date'!T10=0,0, 'By Date'!T10-'By Date'!S10)</f>
        <v>-20</v>
      </c>
      <c r="AD5" s="94">
        <f>IF('By Date'!U10=0,0, 'By Date'!U10-'By Date'!T10)</f>
        <v>158</v>
      </c>
      <c r="AE5" s="94">
        <f>IF('By Date'!V10=0,0, 'By Date'!V10-'By Date'!U10)</f>
        <v>-35</v>
      </c>
      <c r="AF5" s="94">
        <f>IF('By Date'!W10=0,0, 'By Date'!W10-'By Date'!V10)</f>
        <v>311</v>
      </c>
      <c r="AG5" s="94">
        <f t="shared" si="4"/>
        <v>5364</v>
      </c>
    </row>
    <row r="6" spans="1:33" x14ac:dyDescent="0.2">
      <c r="A6" s="94">
        <f>RANK(E6,E$3:E$9)</f>
        <v>4</v>
      </c>
      <c r="B6" s="94" t="str">
        <f>'By Date'!A4</f>
        <v>Newcombe</v>
      </c>
      <c r="C6" s="94">
        <f>'By Date'!B4</f>
        <v>249</v>
      </c>
      <c r="D6" s="94">
        <f>'By Date'!C4-C6</f>
        <v>1065</v>
      </c>
      <c r="E6" s="94">
        <f t="shared" si="0"/>
        <v>1314</v>
      </c>
      <c r="G6" s="94">
        <f t="shared" si="1"/>
        <v>4</v>
      </c>
      <c r="H6" s="94" t="str">
        <f>'By Date'!A4</f>
        <v>Newcombe</v>
      </c>
      <c r="I6" s="94">
        <f>IF('By Date'!D4=0,0, 'By Date'!D4-'By Date'!C4)</f>
        <v>729</v>
      </c>
      <c r="J6" s="94">
        <f>IF('By Date'!E4=0,0, 'By Date'!E4-'By Date'!D4)</f>
        <v>501</v>
      </c>
      <c r="K6" s="94">
        <f>IF('By Date'!F4=0,0, 'By Date'!F4-'By Date'!E4)</f>
        <v>152</v>
      </c>
      <c r="L6" s="94">
        <f>IF('By Date'!G4=0,0, 'By Date'!G4-'By Date'!F4)</f>
        <v>720</v>
      </c>
      <c r="M6" s="94">
        <f>IF('By Date'!H4=0,0, 'By Date'!H4-'By Date'!G4)</f>
        <v>632</v>
      </c>
      <c r="N6" s="94">
        <f>IF('By Date'!I4=0,0, 'By Date'!I4-'By Date'!H4)</f>
        <v>380</v>
      </c>
      <c r="O6" s="94">
        <f>IF('By Date'!J4=0,0, 'By Date'!J4-'By Date'!I4)</f>
        <v>127</v>
      </c>
      <c r="P6" s="94">
        <f>IF('By Date'!K4=0,0, 'By Date'!K4-'By Date'!J4)</f>
        <v>226</v>
      </c>
      <c r="Q6" s="94">
        <f>IF('By Date'!L4=0,0, 'By Date'!L4-'By Date'!K4)</f>
        <v>62</v>
      </c>
      <c r="R6" s="94">
        <f>IF('By Date'!M4=0,0, 'By Date'!M4-'By Date'!L4)</f>
        <v>0</v>
      </c>
      <c r="S6" s="94">
        <f t="shared" si="2"/>
        <v>3529</v>
      </c>
      <c r="U6" s="94">
        <f t="shared" si="3"/>
        <v>4</v>
      </c>
      <c r="V6" s="94" t="str">
        <f>'By Date'!A8</f>
        <v>Connors</v>
      </c>
      <c r="W6" s="94">
        <f>IF('By Date'!N8=0,0, 'By Date'!N8-'By Date'!M8)</f>
        <v>751</v>
      </c>
      <c r="X6" s="94">
        <f>IF('By Date'!O8=0,0, 'By Date'!O8-'By Date'!N8)</f>
        <v>550</v>
      </c>
      <c r="Y6" s="94">
        <f>IF('By Date'!P8=0,0, 'By Date'!P8-'By Date'!O8)</f>
        <v>1087</v>
      </c>
      <c r="Z6" s="94">
        <f>IF('By Date'!Q8=0,0, 'By Date'!Q8-'By Date'!P8)</f>
        <v>716</v>
      </c>
      <c r="AA6" s="94">
        <f>IF('By Date'!R8=0,0, 'By Date'!R8-'By Date'!Q8)</f>
        <v>696</v>
      </c>
      <c r="AB6" s="94">
        <f>IF('By Date'!S8=0,0, 'By Date'!S8-'By Date'!R8)</f>
        <v>598</v>
      </c>
      <c r="AC6" s="94">
        <f>IF('By Date'!T8=0,0, 'By Date'!T8-'By Date'!S8)</f>
        <v>-97</v>
      </c>
      <c r="AD6" s="94">
        <f>IF('By Date'!U8=0,0, 'By Date'!U8-'By Date'!T8)</f>
        <v>453</v>
      </c>
      <c r="AE6" s="94">
        <f>IF('By Date'!V8=0,0, 'By Date'!V8-'By Date'!U8)</f>
        <v>-33</v>
      </c>
      <c r="AF6" s="94">
        <f>IF('By Date'!W8=0,0, 'By Date'!W8-'By Date'!V8)</f>
        <v>174</v>
      </c>
      <c r="AG6" s="94">
        <f t="shared" si="4"/>
        <v>4895</v>
      </c>
    </row>
    <row r="7" spans="1:33" x14ac:dyDescent="0.2">
      <c r="A7" s="94">
        <f>RANK(E7,E$3:E$9)</f>
        <v>5</v>
      </c>
      <c r="B7" s="94" t="str">
        <f>'By Date'!A6</f>
        <v>Smith</v>
      </c>
      <c r="C7" s="94">
        <f>'By Date'!B6</f>
        <v>33</v>
      </c>
      <c r="D7" s="94">
        <f>'By Date'!C6-C7</f>
        <v>154</v>
      </c>
      <c r="E7" s="94">
        <f t="shared" si="0"/>
        <v>187</v>
      </c>
      <c r="G7" s="94">
        <f t="shared" si="1"/>
        <v>5</v>
      </c>
      <c r="H7" s="94" t="str">
        <f>'By Date'!A3</f>
        <v>Rosewall</v>
      </c>
      <c r="I7" s="94">
        <f>IF('By Date'!D3=0,0, 'By Date'!D3-'By Date'!C3)</f>
        <v>876</v>
      </c>
      <c r="J7" s="94">
        <f>IF('By Date'!E3=0,0, 'By Date'!E3-'By Date'!D3)</f>
        <v>803</v>
      </c>
      <c r="K7" s="94">
        <f>IF('By Date'!F3=0,0, 'By Date'!F3-'By Date'!E3)</f>
        <v>360</v>
      </c>
      <c r="L7" s="94">
        <f>IF('By Date'!G3=0,0, 'By Date'!G3-'By Date'!F3)</f>
        <v>135</v>
      </c>
      <c r="M7" s="94">
        <f>IF('By Date'!H3=0,0, 'By Date'!H3-'By Date'!G3)</f>
        <v>808</v>
      </c>
      <c r="N7" s="94">
        <f>IF('By Date'!I3=0,0, 'By Date'!I3-'By Date'!H3)</f>
        <v>62</v>
      </c>
      <c r="O7" s="94">
        <f>IF('By Date'!J3=0,0, 'By Date'!J3-'By Date'!I3)</f>
        <v>153</v>
      </c>
      <c r="P7" s="94">
        <f>IF('By Date'!K3=0,0, 'By Date'!K3-'By Date'!J3)</f>
        <v>126</v>
      </c>
      <c r="Q7" s="94">
        <f>IF('By Date'!L3=0,0, 'By Date'!L3-'By Date'!K3)</f>
        <v>29</v>
      </c>
      <c r="R7" s="94">
        <f>IF('By Date'!M3=0,0, 'By Date'!M3-'By Date'!L3)</f>
        <v>0</v>
      </c>
      <c r="S7" s="94">
        <f t="shared" si="2"/>
        <v>3352</v>
      </c>
      <c r="U7" s="94">
        <f t="shared" si="3"/>
        <v>5</v>
      </c>
      <c r="V7" s="94" t="str">
        <f>'By Date'!A14</f>
        <v>Becker</v>
      </c>
      <c r="W7" s="94">
        <f>IF('By Date'!N14=0,0, 'By Date'!N14-'By Date'!M14)</f>
        <v>0</v>
      </c>
      <c r="X7" s="94">
        <f>IF('By Date'!O14=0,0, 'By Date'!O14-'By Date'!N14)</f>
        <v>0</v>
      </c>
      <c r="Y7" s="94">
        <f>IF('By Date'!P14=0,0, 'By Date'!P14-'By Date'!O14)</f>
        <v>0</v>
      </c>
      <c r="Z7" s="94">
        <f>IF('By Date'!Q14=0,0, 'By Date'!Q14-'By Date'!P14)</f>
        <v>0</v>
      </c>
      <c r="AA7" s="94">
        <f>IF('By Date'!R14=0,0, 'By Date'!R14-'By Date'!Q14)</f>
        <v>203</v>
      </c>
      <c r="AB7" s="94">
        <f>IF('By Date'!S14=0,0, 'By Date'!S14-'By Date'!R14)</f>
        <v>497</v>
      </c>
      <c r="AC7" s="94">
        <f>IF('By Date'!T14=0,0, 'By Date'!T14-'By Date'!S14)</f>
        <v>785</v>
      </c>
      <c r="AD7" s="94">
        <f>IF('By Date'!U14=0,0, 'By Date'!U14-'By Date'!T14)</f>
        <v>293</v>
      </c>
      <c r="AE7" s="94">
        <f>IF('By Date'!V14=0,0, 'By Date'!V14-'By Date'!U14)</f>
        <v>465</v>
      </c>
      <c r="AF7" s="94">
        <f>IF('By Date'!W14=0,0, 'By Date'!W14-'By Date'!V14)</f>
        <v>1126</v>
      </c>
      <c r="AG7" s="94">
        <f t="shared" si="4"/>
        <v>3369</v>
      </c>
    </row>
    <row r="8" spans="1:33" x14ac:dyDescent="0.2">
      <c r="G8" s="94">
        <f t="shared" si="1"/>
        <v>6</v>
      </c>
      <c r="H8" s="94" t="str">
        <f>'By Date'!A5</f>
        <v>Ashe</v>
      </c>
      <c r="I8" s="94">
        <f>IF('By Date'!D5=0,0, 'By Date'!D5-'By Date'!C5)</f>
        <v>994</v>
      </c>
      <c r="J8" s="94">
        <f>IF('By Date'!E5=0,0, 'By Date'!E5-'By Date'!D5)</f>
        <v>801</v>
      </c>
      <c r="K8" s="94">
        <f>IF('By Date'!F5=0,0, 'By Date'!F5-'By Date'!E5)</f>
        <v>412</v>
      </c>
      <c r="L8" s="94">
        <f>IF('By Date'!G5=0,0, 'By Date'!G5-'By Date'!F5)</f>
        <v>99</v>
      </c>
      <c r="M8" s="94">
        <f>IF('By Date'!H5=0,0, 'By Date'!H5-'By Date'!G5)</f>
        <v>167</v>
      </c>
      <c r="N8" s="94">
        <f>IF('By Date'!I5=0,0, 'By Date'!I5-'By Date'!H5)</f>
        <v>542</v>
      </c>
      <c r="O8" s="94">
        <f>IF('By Date'!J5=0,0, 'By Date'!J5-'By Date'!I5)</f>
        <v>80</v>
      </c>
      <c r="P8" s="94">
        <f>IF('By Date'!K5=0,0, 'By Date'!K5-'By Date'!J5)</f>
        <v>-16</v>
      </c>
      <c r="Q8" s="94">
        <f>IF('By Date'!L5=0,0, 'By Date'!L5-'By Date'!K5)</f>
        <v>220</v>
      </c>
      <c r="R8" s="94">
        <f>IF('By Date'!M5=0,0, 'By Date'!M5-'By Date'!L5)</f>
        <v>-76</v>
      </c>
      <c r="S8" s="94">
        <f t="shared" si="2"/>
        <v>3223</v>
      </c>
      <c r="U8" s="94">
        <f t="shared" si="3"/>
        <v>6</v>
      </c>
      <c r="V8" s="94" t="str">
        <f>'By Date'!A13</f>
        <v>Edberg</v>
      </c>
      <c r="W8" s="94">
        <f>IF('By Date'!N13=0,0, 'By Date'!N13-'By Date'!M13)</f>
        <v>0</v>
      </c>
      <c r="X8" s="94">
        <f>IF('By Date'!O13=0,0, 'By Date'!O13-'By Date'!N13)</f>
        <v>0</v>
      </c>
      <c r="Y8" s="94">
        <f>IF('By Date'!P13=0,0, 'By Date'!P13-'By Date'!O13)</f>
        <v>0</v>
      </c>
      <c r="Z8" s="94">
        <f>IF('By Date'!Q13=0,0, 'By Date'!Q13-'By Date'!P13)</f>
        <v>-143</v>
      </c>
      <c r="AA8" s="94">
        <f>IF('By Date'!R13=0,0, 'By Date'!R13-'By Date'!Q13)</f>
        <v>126</v>
      </c>
      <c r="AB8" s="94">
        <f>IF('By Date'!S13=0,0, 'By Date'!S13-'By Date'!R13)</f>
        <v>792</v>
      </c>
      <c r="AC8" s="94">
        <f>IF('By Date'!T13=0,0, 'By Date'!T13-'By Date'!S13)</f>
        <v>251</v>
      </c>
      <c r="AD8" s="94">
        <f>IF('By Date'!U13=0,0, 'By Date'!U13-'By Date'!T13)</f>
        <v>764</v>
      </c>
      <c r="AE8" s="94">
        <f>IF('By Date'!V13=0,0, 'By Date'!V13-'By Date'!U13)</f>
        <v>568</v>
      </c>
      <c r="AF8" s="94">
        <f>IF('By Date'!W13=0,0, 'By Date'!W13-'By Date'!V13)</f>
        <v>764</v>
      </c>
      <c r="AG8" s="94">
        <f t="shared" si="4"/>
        <v>3122</v>
      </c>
    </row>
    <row r="9" spans="1:33" x14ac:dyDescent="0.2">
      <c r="G9" s="94">
        <f t="shared" si="1"/>
        <v>7</v>
      </c>
      <c r="H9" s="94" t="str">
        <f>'By Date'!A6</f>
        <v>Smith</v>
      </c>
      <c r="I9" s="94">
        <f>IF('By Date'!D6=0,0, 'By Date'!D6-'By Date'!C6)</f>
        <v>386</v>
      </c>
      <c r="J9" s="94">
        <f>IF('By Date'!E6=0,0, 'By Date'!E6-'By Date'!D6)</f>
        <v>1005</v>
      </c>
      <c r="K9" s="94">
        <f>IF('By Date'!F6=0,0, 'By Date'!F6-'By Date'!E6)</f>
        <v>836</v>
      </c>
      <c r="L9" s="94">
        <f>IF('By Date'!G6=0,0, 'By Date'!G6-'By Date'!F6)</f>
        <v>430</v>
      </c>
      <c r="M9" s="94">
        <f>IF('By Date'!H6=0,0, 'By Date'!H6-'By Date'!G6)</f>
        <v>246</v>
      </c>
      <c r="N9" s="94">
        <f>IF('By Date'!I6=0,0, 'By Date'!I6-'By Date'!H6)</f>
        <v>-98</v>
      </c>
      <c r="O9" s="94">
        <f>IF('By Date'!J6=0,0, 'By Date'!J6-'By Date'!I6)</f>
        <v>90</v>
      </c>
      <c r="P9" s="94">
        <f>IF('By Date'!K6=0,0, 'By Date'!K6-'By Date'!J6)</f>
        <v>52</v>
      </c>
      <c r="Q9" s="94">
        <f>IF('By Date'!L6=0,0, 'By Date'!L6-'By Date'!K6)</f>
        <v>-67</v>
      </c>
      <c r="R9" s="94">
        <f>IF('By Date'!M6=0,0, 'By Date'!M6-'By Date'!L6)</f>
        <v>43</v>
      </c>
      <c r="S9" s="94">
        <f>SUM(I9:R9)</f>
        <v>2923</v>
      </c>
      <c r="U9" s="94">
        <f t="shared" ref="U9:U10" si="5">RANK(AG9,AG$3:AG$15)</f>
        <v>7</v>
      </c>
      <c r="V9" s="94" t="str">
        <f>'By Date'!A9</f>
        <v>Borg</v>
      </c>
      <c r="W9" s="94">
        <f>IF('By Date'!N9=0,0, 'By Date'!N9-'By Date'!M9)</f>
        <v>1371</v>
      </c>
      <c r="X9" s="94">
        <f>IF('By Date'!O9=0,0, 'By Date'!O9-'By Date'!N9)</f>
        <v>1176</v>
      </c>
      <c r="Y9" s="94">
        <f>IF('By Date'!P9=0,0, 'By Date'!P9-'By Date'!O9)</f>
        <v>0</v>
      </c>
      <c r="Z9" s="94">
        <f>IF('By Date'!Q9=0,0, 'By Date'!Q9-'By Date'!P9)</f>
        <v>0</v>
      </c>
      <c r="AA9" s="94">
        <f>IF('By Date'!R9=0,0, 'By Date'!R9-'By Date'!Q9)</f>
        <v>0</v>
      </c>
      <c r="AB9" s="94">
        <f>IF('By Date'!S9=0,0, 'By Date'!S9-'By Date'!R9)</f>
        <v>0</v>
      </c>
      <c r="AC9" s="94">
        <f>IF('By Date'!T9=0,0, 'By Date'!T9-'By Date'!S9)</f>
        <v>0</v>
      </c>
      <c r="AD9" s="94">
        <f>IF('By Date'!U9=0,0, 'By Date'!U9-'By Date'!T9)</f>
        <v>0</v>
      </c>
      <c r="AE9" s="94">
        <f>IF('By Date'!V9=0,0, 'By Date'!V9-'By Date'!U9)</f>
        <v>0</v>
      </c>
      <c r="AF9" s="94">
        <f>IF('By Date'!W9=0,0, 'By Date'!W9-'By Date'!V9)</f>
        <v>0</v>
      </c>
      <c r="AG9" s="94">
        <f t="shared" si="4"/>
        <v>2547</v>
      </c>
    </row>
    <row r="10" spans="1:33" x14ac:dyDescent="0.2">
      <c r="G10" s="94">
        <f t="shared" si="1"/>
        <v>8</v>
      </c>
      <c r="H10" s="94" t="str">
        <f>'By Date'!A10</f>
        <v>McEnroe</v>
      </c>
      <c r="I10" s="94">
        <f>IF('By Date'!D10=0,0, 'By Date'!D10-'By Date'!C10)</f>
        <v>0</v>
      </c>
      <c r="J10" s="94">
        <f>IF('By Date'!E10=0,0, 'By Date'!E10-'By Date'!D10)</f>
        <v>0</v>
      </c>
      <c r="K10" s="94">
        <f>IF('By Date'!F10=0,0, 'By Date'!F10-'By Date'!E10)</f>
        <v>0</v>
      </c>
      <c r="L10" s="94">
        <f>IF('By Date'!G10=0,0, 'By Date'!G10-'By Date'!F10)</f>
        <v>0</v>
      </c>
      <c r="M10" s="94">
        <f>IF('By Date'!H10=0,0, 'By Date'!H10-'By Date'!G10)</f>
        <v>0</v>
      </c>
      <c r="N10" s="94">
        <f>IF('By Date'!I10=0,0, 'By Date'!I10-'By Date'!H10)</f>
        <v>0</v>
      </c>
      <c r="O10" s="94">
        <f>IF('By Date'!J10=0,0, 'By Date'!J10-'By Date'!I10)</f>
        <v>0</v>
      </c>
      <c r="P10" s="94">
        <f>IF('By Date'!K10=0,0, 'By Date'!K10-'By Date'!J10)</f>
        <v>369</v>
      </c>
      <c r="Q10" s="94">
        <f>IF('By Date'!L10=0,0, 'By Date'!L10-'By Date'!K10)</f>
        <v>159</v>
      </c>
      <c r="R10" s="94">
        <f>IF('By Date'!M10=0,0, 'By Date'!M10-'By Date'!L10)</f>
        <v>611</v>
      </c>
      <c r="S10" s="94">
        <f>SUM(I10:R10)</f>
        <v>1139</v>
      </c>
      <c r="U10" s="94">
        <f t="shared" si="5"/>
        <v>8</v>
      </c>
      <c r="V10" s="94" t="str">
        <f>'By Date'!A7</f>
        <v>Vilas</v>
      </c>
      <c r="W10" s="94">
        <f>IF('By Date'!N7=0,0, 'By Date'!N7-'By Date'!M7)</f>
        <v>349</v>
      </c>
      <c r="X10" s="94">
        <f>IF('By Date'!O7=0,0, 'By Date'!O7-'By Date'!N7)</f>
        <v>182</v>
      </c>
      <c r="Y10" s="94">
        <f>IF('By Date'!P7=0,0, 'By Date'!P7-'By Date'!O7)</f>
        <v>452</v>
      </c>
      <c r="Z10" s="94">
        <f>IF('By Date'!Q7=0,0, 'By Date'!Q7-'By Date'!P7)</f>
        <v>-63</v>
      </c>
      <c r="AA10" s="94">
        <f>IF('By Date'!R7=0,0, 'By Date'!R7-'By Date'!Q7)</f>
        <v>-49</v>
      </c>
      <c r="AB10" s="94">
        <f>IF('By Date'!S7=0,0, 'By Date'!S7-'By Date'!R7)</f>
        <v>-24</v>
      </c>
      <c r="AC10" s="94">
        <f>IF('By Date'!T7=0,0, 'By Date'!T7-'By Date'!S7)</f>
        <v>-41</v>
      </c>
      <c r="AD10" s="94">
        <f>IF('By Date'!U7=0,0, 'By Date'!U7-'By Date'!T7)</f>
        <v>-53</v>
      </c>
      <c r="AE10" s="94">
        <f>IF('By Date'!V7=0,0, 'By Date'!V7-'By Date'!U7)</f>
        <v>-45</v>
      </c>
      <c r="AF10" s="94">
        <f>IF('By Date'!W7=0,0, 'By Date'!W7-'By Date'!V7)</f>
        <v>-99</v>
      </c>
      <c r="AG10" s="94">
        <f t="shared" si="4"/>
        <v>609</v>
      </c>
    </row>
    <row r="11" spans="1:33" x14ac:dyDescent="0.2">
      <c r="G11" s="94">
        <f t="shared" si="1"/>
        <v>9</v>
      </c>
      <c r="H11" s="94" t="str">
        <f>'By Date'!A2</f>
        <v>Laver</v>
      </c>
      <c r="I11" s="94">
        <f>IF('By Date'!D2=0,0, 'By Date'!D2-'By Date'!C2)</f>
        <v>175</v>
      </c>
      <c r="J11" s="94">
        <f>IF('By Date'!E2=0,0, 'By Date'!E2-'By Date'!D2)</f>
        <v>271</v>
      </c>
      <c r="K11" s="94">
        <f>IF('By Date'!F2=0,0, 'By Date'!F2-'By Date'!E2)</f>
        <v>69</v>
      </c>
      <c r="L11" s="94">
        <f>IF('By Date'!G2=0,0, 'By Date'!G2-'By Date'!F2)</f>
        <v>58</v>
      </c>
      <c r="M11" s="94">
        <f>IF('By Date'!H2=0,0, 'By Date'!H2-'By Date'!G2)</f>
        <v>0</v>
      </c>
      <c r="N11" s="94">
        <f>IF('By Date'!I2=0,0, 'By Date'!I2-'By Date'!H2)</f>
        <v>174</v>
      </c>
      <c r="O11" s="94">
        <f>IF('By Date'!J2=0,0, 'By Date'!J2-'By Date'!I2)</f>
        <v>0</v>
      </c>
      <c r="P11" s="94">
        <f>IF('By Date'!K2=0,0, 'By Date'!K2-'By Date'!J2)</f>
        <v>-8</v>
      </c>
      <c r="Q11" s="94">
        <f>IF('By Date'!L2=0,0, 'By Date'!L2-'By Date'!K2)</f>
        <v>0</v>
      </c>
      <c r="R11" s="94">
        <f>IF('By Date'!M2=0,0, 'By Date'!M2-'By Date'!L2)</f>
        <v>0</v>
      </c>
      <c r="S11" s="94">
        <f>SUM(I11:R11)</f>
        <v>739</v>
      </c>
      <c r="U11" s="94">
        <f>RANK(AG11,AG$3:AG$15)</f>
        <v>9</v>
      </c>
      <c r="V11" s="94" t="str">
        <f>'By Date'!A15</f>
        <v>Agassi</v>
      </c>
      <c r="W11" s="94">
        <f>IF('By Date'!N15=0,0, 'By Date'!N15-'By Date'!M15)</f>
        <v>0</v>
      </c>
      <c r="X11" s="94">
        <f>IF('By Date'!O15=0,0, 'By Date'!O15-'By Date'!N15)</f>
        <v>0</v>
      </c>
      <c r="Y11" s="94">
        <f>IF('By Date'!P15=0,0, 'By Date'!P15-'By Date'!O15)</f>
        <v>0</v>
      </c>
      <c r="Z11" s="94">
        <f>IF('By Date'!Q15=0,0, 'By Date'!Q15-'By Date'!P15)</f>
        <v>0</v>
      </c>
      <c r="AA11" s="94">
        <f>IF('By Date'!R15=0,0, 'By Date'!R15-'By Date'!Q15)</f>
        <v>0</v>
      </c>
      <c r="AB11" s="94">
        <f>IF('By Date'!S15=0,0, 'By Date'!S15-'By Date'!R15)</f>
        <v>0</v>
      </c>
      <c r="AC11" s="94">
        <f>IF('By Date'!T15=0,0, 'By Date'!T15-'By Date'!S15)</f>
        <v>-99</v>
      </c>
      <c r="AD11" s="94">
        <f>IF('By Date'!U15=0,0, 'By Date'!U15-'By Date'!T15)</f>
        <v>-111</v>
      </c>
      <c r="AE11" s="94">
        <f>IF('By Date'!V15=0,0, 'By Date'!V15-'By Date'!U15)</f>
        <v>380</v>
      </c>
      <c r="AF11" s="94">
        <f>IF('By Date'!W15=0,0, 'By Date'!W15-'By Date'!V15)</f>
        <v>122</v>
      </c>
      <c r="AG11" s="94">
        <f t="shared" si="4"/>
        <v>292</v>
      </c>
    </row>
    <row r="12" spans="1:33" x14ac:dyDescent="0.2">
      <c r="G12" s="94">
        <f t="shared" si="1"/>
        <v>10</v>
      </c>
      <c r="H12" s="94" t="str">
        <f>'By Date'!A11</f>
        <v>Lendl</v>
      </c>
      <c r="I12" s="94">
        <f>IF('By Date'!D11=0,0, 'By Date'!D11-'By Date'!C11)</f>
        <v>0</v>
      </c>
      <c r="J12" s="94">
        <f>IF('By Date'!E11=0,0, 'By Date'!E11-'By Date'!D11)</f>
        <v>0</v>
      </c>
      <c r="K12" s="94">
        <f>IF('By Date'!F11=0,0, 'By Date'!F11-'By Date'!E11)</f>
        <v>0</v>
      </c>
      <c r="L12" s="94">
        <f>IF('By Date'!G11=0,0, 'By Date'!G11-'By Date'!F11)</f>
        <v>0</v>
      </c>
      <c r="M12" s="94">
        <f>IF('By Date'!H11=0,0, 'By Date'!H11-'By Date'!G11)</f>
        <v>0</v>
      </c>
      <c r="N12" s="94">
        <f>IF('By Date'!I11=0,0, 'By Date'!I11-'By Date'!H11)</f>
        <v>0</v>
      </c>
      <c r="O12" s="94">
        <f>IF('By Date'!J11=0,0, 'By Date'!J11-'By Date'!I11)</f>
        <v>0</v>
      </c>
      <c r="P12" s="94">
        <f>IF('By Date'!K11=0,0, 'By Date'!K11-'By Date'!J11)</f>
        <v>0</v>
      </c>
      <c r="Q12" s="94">
        <f>IF('By Date'!L11=0,0, 'By Date'!L11-'By Date'!K11)</f>
        <v>-99</v>
      </c>
      <c r="R12" s="94">
        <f>IF('By Date'!M11=0,0, 'By Date'!M11-'By Date'!L11)</f>
        <v>131</v>
      </c>
      <c r="S12" s="94">
        <f>SUM(I12:R12)</f>
        <v>32</v>
      </c>
      <c r="U12" s="94">
        <f>RANK(AG12,AG$3:AG$15)</f>
        <v>10</v>
      </c>
      <c r="V12" s="94" t="str">
        <f>'By Date'!A16</f>
        <v>Courier</v>
      </c>
      <c r="W12" s="94">
        <f>IF('By Date'!N16=0,0, 'By Date'!N16-'By Date'!M16)</f>
        <v>0</v>
      </c>
      <c r="X12" s="94">
        <f>IF('By Date'!O16=0,0, 'By Date'!O16-'By Date'!N16)</f>
        <v>0</v>
      </c>
      <c r="Y12" s="94">
        <f>IF('By Date'!P16=0,0, 'By Date'!P16-'By Date'!O16)</f>
        <v>0</v>
      </c>
      <c r="Z12" s="94">
        <f>IF('By Date'!Q16=0,0, 'By Date'!Q16-'By Date'!P16)</f>
        <v>0</v>
      </c>
      <c r="AA12" s="94">
        <f>IF('By Date'!R16=0,0, 'By Date'!R16-'By Date'!Q16)</f>
        <v>0</v>
      </c>
      <c r="AB12" s="94">
        <f>IF('By Date'!S16=0,0, 'By Date'!S16-'By Date'!R16)</f>
        <v>0</v>
      </c>
      <c r="AC12" s="94">
        <f>IF('By Date'!T16=0,0, 'By Date'!T16-'By Date'!S16)</f>
        <v>0</v>
      </c>
      <c r="AD12" s="94">
        <f>IF('By Date'!U16=0,0, 'By Date'!U16-'By Date'!T16)</f>
        <v>0</v>
      </c>
      <c r="AE12" s="94">
        <f>IF('By Date'!V16=0,0, 'By Date'!V16-'By Date'!U16)</f>
        <v>3</v>
      </c>
      <c r="AF12" s="94">
        <f>IF('By Date'!W16=0,0, 'By Date'!W16-'By Date'!V16)</f>
        <v>87</v>
      </c>
      <c r="AG12" s="94">
        <f t="shared" si="4"/>
        <v>90</v>
      </c>
    </row>
    <row r="13" spans="1:33" x14ac:dyDescent="0.2">
      <c r="U13" s="94">
        <f>RANK(AG13,AG$3:AG$15)</f>
        <v>11</v>
      </c>
      <c r="V13" s="94" t="str">
        <f>'By Date'!A17</f>
        <v>Sampras</v>
      </c>
      <c r="W13" s="94">
        <f>IF('By Date'!N17=0,0, 'By Date'!N17-'By Date'!M17)</f>
        <v>0</v>
      </c>
      <c r="X13" s="94">
        <f>IF('By Date'!O17=0,0, 'By Date'!O17-'By Date'!N17)</f>
        <v>0</v>
      </c>
      <c r="Y13" s="94">
        <f>IF('By Date'!P17=0,0, 'By Date'!P17-'By Date'!O17)</f>
        <v>0</v>
      </c>
      <c r="Z13" s="94">
        <f>IF('By Date'!Q17=0,0, 'By Date'!Q17-'By Date'!P17)</f>
        <v>0</v>
      </c>
      <c r="AA13" s="94">
        <f>IF('By Date'!R17=0,0, 'By Date'!R17-'By Date'!Q17)</f>
        <v>0</v>
      </c>
      <c r="AB13" s="94">
        <f>IF('By Date'!S17=0,0, 'By Date'!S17-'By Date'!R17)</f>
        <v>0</v>
      </c>
      <c r="AC13" s="94">
        <f>IF('By Date'!T17=0,0, 'By Date'!T17-'By Date'!S17)</f>
        <v>0</v>
      </c>
      <c r="AD13" s="94">
        <f>IF('By Date'!U17=0,0, 'By Date'!U17-'By Date'!T17)</f>
        <v>0</v>
      </c>
      <c r="AE13" s="94">
        <f>IF('By Date'!V17=0,0, 'By Date'!V17-'By Date'!U17)</f>
        <v>-69</v>
      </c>
      <c r="AF13" s="94">
        <f>IF('By Date'!W17=0,0, 'By Date'!W17-'By Date'!V17)</f>
        <v>-37</v>
      </c>
      <c r="AG13" s="94">
        <f t="shared" si="4"/>
        <v>-106</v>
      </c>
    </row>
    <row r="14" spans="1:33" x14ac:dyDescent="0.2">
      <c r="U14" s="94">
        <f>RANK(AG14,AG$3:AG$15)</f>
        <v>12</v>
      </c>
      <c r="V14" s="94" t="str">
        <f>'By Date'!A6</f>
        <v>Smith</v>
      </c>
      <c r="W14" s="94">
        <f>IF('By Date'!N6=0,0, 'By Date'!N6-'By Date'!M6)</f>
        <v>29</v>
      </c>
      <c r="X14" s="94">
        <f>IF('By Date'!O6=0,0, 'By Date'!O6-'By Date'!N6)</f>
        <v>99</v>
      </c>
      <c r="Y14" s="94">
        <f>IF('By Date'!P6=0,0, 'By Date'!P6-'By Date'!O6)</f>
        <v>-39</v>
      </c>
      <c r="Z14" s="94">
        <f>IF('By Date'!Q6=0,0, 'By Date'!Q6-'By Date'!P6)</f>
        <v>-197</v>
      </c>
      <c r="AA14" s="94">
        <f>IF('By Date'!R6=0,0, 'By Date'!R6-'By Date'!Q6)</f>
        <v>0</v>
      </c>
      <c r="AB14" s="94">
        <f>IF('By Date'!S6=0,0, 'By Date'!S6-'By Date'!R6)</f>
        <v>0</v>
      </c>
      <c r="AC14" s="94">
        <f>IF('By Date'!T6=0,0, 'By Date'!T6-'By Date'!S6)</f>
        <v>0</v>
      </c>
      <c r="AD14" s="94">
        <f>IF('By Date'!U6=0,0, 'By Date'!U6-'By Date'!T6)</f>
        <v>0</v>
      </c>
      <c r="AE14" s="94">
        <f>IF('By Date'!V6=0,0, 'By Date'!V6-'By Date'!U6)</f>
        <v>0</v>
      </c>
      <c r="AF14" s="94">
        <f>IF('By Date'!W6=0,0, 'By Date'!W6-'By Date'!V6)</f>
        <v>0</v>
      </c>
      <c r="AG14" s="94">
        <f t="shared" si="4"/>
        <v>-108</v>
      </c>
    </row>
    <row r="16" spans="1:33" x14ac:dyDescent="0.2">
      <c r="G16" s="199" t="s">
        <v>22</v>
      </c>
      <c r="H16" s="199"/>
      <c r="I16" s="199" t="s">
        <v>197</v>
      </c>
      <c r="J16" s="199"/>
      <c r="K16" s="199"/>
      <c r="L16" s="199"/>
      <c r="M16" s="199"/>
      <c r="N16" s="199"/>
      <c r="O16" s="199"/>
      <c r="P16" s="199"/>
      <c r="Q16" s="199"/>
      <c r="R16" s="199"/>
      <c r="S16" s="199"/>
    </row>
    <row r="17" spans="7:33" x14ac:dyDescent="0.2">
      <c r="G17" s="199"/>
      <c r="H17" s="199"/>
      <c r="I17" s="94">
        <v>1990</v>
      </c>
      <c r="J17" s="94">
        <v>1991</v>
      </c>
      <c r="K17" s="94">
        <v>1992</v>
      </c>
      <c r="L17" s="94">
        <v>1993</v>
      </c>
      <c r="M17" s="94">
        <v>1994</v>
      </c>
      <c r="N17" s="94">
        <v>1995</v>
      </c>
      <c r="O17" s="94">
        <v>1996</v>
      </c>
      <c r="P17" s="94">
        <v>1997</v>
      </c>
      <c r="Q17" s="94">
        <v>1998</v>
      </c>
      <c r="R17" s="94">
        <v>1999</v>
      </c>
      <c r="S17" s="94" t="s">
        <v>194</v>
      </c>
      <c r="U17" s="199" t="s">
        <v>22</v>
      </c>
      <c r="V17" s="199"/>
      <c r="W17" s="199" t="s">
        <v>198</v>
      </c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</row>
    <row r="18" spans="7:33" x14ac:dyDescent="0.2">
      <c r="G18" s="94">
        <f t="shared" ref="G18:G29" si="6">RANK(S18,S$18:S$29)</f>
        <v>1</v>
      </c>
      <c r="H18" s="94" t="str">
        <f>'By Date'!A17</f>
        <v>Sampras</v>
      </c>
      <c r="I18" s="94">
        <f>IF('By Date'!X17=0,0, 'By Date'!X17-'By Date'!W17)</f>
        <v>611</v>
      </c>
      <c r="J18" s="94">
        <f>IF('By Date'!Y17=0,0, 'By Date'!Y17-'By Date'!X17)</f>
        <v>69</v>
      </c>
      <c r="K18" s="94">
        <f>IF('By Date'!Z17=0,0, 'By Date'!Z17-'By Date'!Y17)</f>
        <v>735</v>
      </c>
      <c r="L18" s="94">
        <f>IF('By Date'!AA17=0,0, 'By Date'!AA17-'By Date'!Z17)</f>
        <v>1416</v>
      </c>
      <c r="M18" s="94">
        <f>IF('By Date'!AB17=0,0, 'By Date'!AB17-'By Date'!AA17)</f>
        <v>1099</v>
      </c>
      <c r="N18" s="94">
        <f>IF('By Date'!AC17=0,0, 'By Date'!AC17-'By Date'!AB17)</f>
        <v>1029</v>
      </c>
      <c r="O18" s="94">
        <f>IF('By Date'!AD17=0,0, 'By Date'!AD17-'By Date'!AC17)</f>
        <v>996</v>
      </c>
      <c r="P18" s="94">
        <f>IF('By Date'!AE17=0,0, 'By Date'!AE17-'By Date'!AD17)</f>
        <v>909</v>
      </c>
      <c r="Q18" s="94">
        <f>IF('By Date'!AF17=0,0, 'By Date'!AF17-'By Date'!AE17)</f>
        <v>769</v>
      </c>
      <c r="R18" s="94">
        <f>IF('By Date'!AG17=0,0, 'By Date'!AG17-'By Date'!AF17)</f>
        <v>282</v>
      </c>
      <c r="S18" s="94">
        <f t="shared" ref="S18:S29" si="7">SUM(I18:R18)</f>
        <v>7915</v>
      </c>
      <c r="U18" s="199"/>
      <c r="V18" s="199"/>
      <c r="W18" s="94">
        <v>2000</v>
      </c>
      <c r="X18" s="94">
        <v>2001</v>
      </c>
      <c r="Y18" s="94">
        <v>2002</v>
      </c>
      <c r="Z18" s="94">
        <v>2003</v>
      </c>
      <c r="AA18" s="94">
        <v>2004</v>
      </c>
      <c r="AB18" s="94">
        <v>2005</v>
      </c>
      <c r="AC18" s="94">
        <v>2006</v>
      </c>
      <c r="AD18" s="94">
        <v>2007</v>
      </c>
      <c r="AE18" s="94">
        <v>2008</v>
      </c>
      <c r="AF18" s="94">
        <v>2009</v>
      </c>
      <c r="AG18" s="94" t="s">
        <v>194</v>
      </c>
    </row>
    <row r="19" spans="7:33" x14ac:dyDescent="0.2">
      <c r="G19" s="94">
        <f t="shared" si="6"/>
        <v>2</v>
      </c>
      <c r="H19" s="94" t="str">
        <f>'By Date'!A15</f>
        <v>Agassi</v>
      </c>
      <c r="I19" s="94">
        <f>IF('By Date'!X15=0,0, 'By Date'!X15-'By Date'!W15)</f>
        <v>660</v>
      </c>
      <c r="J19" s="94">
        <f>IF('By Date'!Y15=0,0, 'By Date'!Y15-'By Date'!X15)</f>
        <v>454</v>
      </c>
      <c r="K19" s="94">
        <f>IF('By Date'!Z15=0,0, 'By Date'!Z15-'By Date'!Y15)</f>
        <v>953</v>
      </c>
      <c r="L19" s="94">
        <f>IF('By Date'!AA15=0,0, 'By Date'!AA15-'By Date'!Z15)</f>
        <v>106</v>
      </c>
      <c r="M19" s="94">
        <f>IF('By Date'!AB15=0,0, 'By Date'!AB15-'By Date'!AA15)</f>
        <v>630</v>
      </c>
      <c r="N19" s="94">
        <f>IF('By Date'!AC15=0,0, 'By Date'!AC15-'By Date'!AB15)</f>
        <v>1070</v>
      </c>
      <c r="O19" s="94">
        <f>IF('By Date'!AD15=0,0, 'By Date'!AD15-'By Date'!AC15)</f>
        <v>200</v>
      </c>
      <c r="P19" s="94">
        <f>IF('By Date'!AE15=0,0, 'By Date'!AE15-'By Date'!AD15)</f>
        <v>46</v>
      </c>
      <c r="Q19" s="94">
        <f>IF('By Date'!AF15=0,0, 'By Date'!AF15-'By Date'!AE15)</f>
        <v>94</v>
      </c>
      <c r="R19" s="94">
        <f>IF('By Date'!AG15=0,0, 'By Date'!AG15-'By Date'!AF15)</f>
        <v>959</v>
      </c>
      <c r="S19" s="94">
        <f t="shared" si="7"/>
        <v>5172</v>
      </c>
      <c r="U19" s="94">
        <f t="shared" ref="U19:U25" si="8">RANK(AG19,AG$19:AG$30)</f>
        <v>1</v>
      </c>
      <c r="V19" s="94" t="str">
        <f>'By Date'!A20</f>
        <v>Federer</v>
      </c>
      <c r="W19" s="94">
        <f>IF('By Date'!AH20=0,0, 'By Date'!AH20-'By Date'!AG20)</f>
        <v>17</v>
      </c>
      <c r="X19" s="94">
        <f>IF('By Date'!AI20=0,0, 'By Date'!AI20-'By Date'!AH20)</f>
        <v>466</v>
      </c>
      <c r="Y19" s="94">
        <f>IF('By Date'!AJ20=0,0, 'By Date'!AJ20-'By Date'!AI20)</f>
        <v>-28</v>
      </c>
      <c r="Z19" s="94">
        <f>IF('By Date'!AK20=0,0, 'By Date'!AK20-'By Date'!AJ20)</f>
        <v>494</v>
      </c>
      <c r="AA19" s="94">
        <f>IF('By Date'!AL20=0,0, 'By Date'!AL20-'By Date'!AK20)</f>
        <v>1297</v>
      </c>
      <c r="AB19" s="94">
        <f>IF('By Date'!AM20=0,0, 'By Date'!AM20-'By Date'!AL20)</f>
        <v>1416</v>
      </c>
      <c r="AC19" s="94">
        <f>IF('By Date'!AN20=0,0, 'By Date'!AN20-'By Date'!AM20)</f>
        <v>1677</v>
      </c>
      <c r="AD19" s="94">
        <f>IF('By Date'!AO20=0,0, 'By Date'!AO20-'By Date'!AN20)</f>
        <v>1850</v>
      </c>
      <c r="AE19" s="94">
        <f>IF('By Date'!AP20=0,0, 'By Date'!AP20-'By Date'!AO20)</f>
        <v>1342</v>
      </c>
      <c r="AF19" s="94">
        <f>IF('By Date'!AQ20=0,0, 'By Date'!AQ20-'By Date'!AP20)</f>
        <v>1859</v>
      </c>
      <c r="AG19" s="94">
        <f t="shared" ref="AG19:AG25" si="9">SUM(W19:AF19)</f>
        <v>10390</v>
      </c>
    </row>
    <row r="20" spans="7:33" x14ac:dyDescent="0.2">
      <c r="G20" s="94">
        <f t="shared" si="6"/>
        <v>3</v>
      </c>
      <c r="H20" s="94" t="str">
        <f>'By Date'!A16</f>
        <v>Courier</v>
      </c>
      <c r="I20" s="94">
        <f>IF('By Date'!X16=0,0, 'By Date'!X16-'By Date'!W16)</f>
        <v>-54</v>
      </c>
      <c r="J20" s="94">
        <f>IF('By Date'!Y16=0,0, 'By Date'!Y16-'By Date'!X16)</f>
        <v>979</v>
      </c>
      <c r="K20" s="94">
        <f>IF('By Date'!Z16=0,0, 'By Date'!Z16-'By Date'!Y16)</f>
        <v>1088</v>
      </c>
      <c r="L20" s="94">
        <f>IF('By Date'!AA16=0,0, 'By Date'!AA16-'By Date'!Z16)</f>
        <v>1169</v>
      </c>
      <c r="M20" s="94">
        <f>IF('By Date'!AB16=0,0, 'By Date'!AB16-'By Date'!AA16)</f>
        <v>480</v>
      </c>
      <c r="N20" s="94">
        <f>IF('By Date'!AC16=0,0, 'By Date'!AC16-'By Date'!AB16)</f>
        <v>471</v>
      </c>
      <c r="O20" s="94">
        <f>IF('By Date'!AD16=0,0, 'By Date'!AD16-'By Date'!AC16)</f>
        <v>127</v>
      </c>
      <c r="P20" s="94">
        <f>IF('By Date'!AE16=0,0, 'By Date'!AE16-'By Date'!AD16)</f>
        <v>-139</v>
      </c>
      <c r="Q20" s="94">
        <f>IF('By Date'!AF16=0,0, 'By Date'!AF16-'By Date'!AE16)</f>
        <v>-83</v>
      </c>
      <c r="R20" s="94">
        <f>IF('By Date'!AG16=0,0, 'By Date'!AG16-'By Date'!AF16)</f>
        <v>55</v>
      </c>
      <c r="S20" s="94">
        <f t="shared" si="7"/>
        <v>4093</v>
      </c>
      <c r="U20" s="94">
        <f t="shared" si="8"/>
        <v>2</v>
      </c>
      <c r="V20" s="94" t="str">
        <f>'By Date'!A19</f>
        <v>Hewitt</v>
      </c>
      <c r="W20" s="94">
        <f>IF('By Date'!AH19=0,0, 'By Date'!AH19-'By Date'!AG19)</f>
        <v>342</v>
      </c>
      <c r="X20" s="94">
        <f>IF('By Date'!AI19=0,0, 'By Date'!AI19-'By Date'!AH19)</f>
        <v>697</v>
      </c>
      <c r="Y20" s="94">
        <f>IF('By Date'!AJ19=0,0, 'By Date'!AJ19-'By Date'!AI19)</f>
        <v>689</v>
      </c>
      <c r="Z20" s="94">
        <f>IF('By Date'!AK19=0,0, 'By Date'!AK19-'By Date'!AJ19)</f>
        <v>166</v>
      </c>
      <c r="AA20" s="94">
        <f>IF('By Date'!AL19=0,0, 'By Date'!AL19-'By Date'!AK19)</f>
        <v>786</v>
      </c>
      <c r="AB20" s="94">
        <f>IF('By Date'!AM19=0,0, 'By Date'!AM19-'By Date'!AL19)</f>
        <v>877</v>
      </c>
      <c r="AC20" s="94">
        <f>IF('By Date'!AN19=0,0, 'By Date'!AN19-'By Date'!AM19)</f>
        <v>443</v>
      </c>
      <c r="AD20" s="94">
        <f>IF('By Date'!AO19=0,0, 'By Date'!AO19-'By Date'!AN19)</f>
        <v>234</v>
      </c>
      <c r="AE20" s="94">
        <f>IF('By Date'!AP19=0,0, 'By Date'!AP19-'By Date'!AO19)</f>
        <v>333</v>
      </c>
      <c r="AF20" s="94">
        <f>IF('By Date'!AQ19=0,0, 'By Date'!AQ19-'By Date'!AP19)</f>
        <v>295</v>
      </c>
      <c r="AG20" s="94">
        <f t="shared" si="9"/>
        <v>4862</v>
      </c>
    </row>
    <row r="21" spans="7:33" x14ac:dyDescent="0.2">
      <c r="G21" s="94">
        <f t="shared" si="6"/>
        <v>4</v>
      </c>
      <c r="H21" s="94" t="str">
        <f>'By Date'!A13</f>
        <v>Edberg</v>
      </c>
      <c r="I21" s="94">
        <f>IF('By Date'!X13=0,0, 'By Date'!X13-'By Date'!W13)</f>
        <v>623</v>
      </c>
      <c r="J21" s="94">
        <f>IF('By Date'!Y13=0,0, 'By Date'!Y13-'By Date'!X13)</f>
        <v>921</v>
      </c>
      <c r="K21" s="94">
        <f>IF('By Date'!Z13=0,0, 'By Date'!Z13-'By Date'!Y13)</f>
        <v>818</v>
      </c>
      <c r="L21" s="94">
        <f>IF('By Date'!AA13=0,0, 'By Date'!AA13-'By Date'!Z13)</f>
        <v>601</v>
      </c>
      <c r="M21" s="94">
        <f>IF('By Date'!AB13=0,0, 'By Date'!AB13-'By Date'!AA13)</f>
        <v>60</v>
      </c>
      <c r="N21" s="94">
        <f>IF('By Date'!AC13=0,0, 'By Date'!AC13-'By Date'!AB13)</f>
        <v>2</v>
      </c>
      <c r="O21" s="94">
        <f>IF('By Date'!AD13=0,0, 'By Date'!AD13-'By Date'!AC13)</f>
        <v>421</v>
      </c>
      <c r="P21" s="94">
        <f>IF('By Date'!AE13=0,0, 'By Date'!AE13-'By Date'!AD13)</f>
        <v>0</v>
      </c>
      <c r="Q21" s="94">
        <f>IF('By Date'!AF13=0,0, 'By Date'!AF13-'By Date'!AE13)</f>
        <v>0</v>
      </c>
      <c r="R21" s="94">
        <f>IF('By Date'!AG13=0,0, 'By Date'!AG13-'By Date'!AF13)</f>
        <v>0</v>
      </c>
      <c r="S21" s="94">
        <f t="shared" si="7"/>
        <v>3446</v>
      </c>
      <c r="U21" s="94">
        <f t="shared" si="8"/>
        <v>3</v>
      </c>
      <c r="V21" s="94" t="str">
        <f>'By Date'!A22</f>
        <v>Nadal</v>
      </c>
      <c r="W21" s="94">
        <f>IF('By Date'!AH22=0,0, 'By Date'!AH22-'By Date'!AG22)</f>
        <v>0</v>
      </c>
      <c r="X21" s="94">
        <f>IF('By Date'!AI22=0,0, 'By Date'!AI22-'By Date'!AH22)</f>
        <v>0</v>
      </c>
      <c r="Y21" s="94">
        <f>IF('By Date'!AJ22=0,0, 'By Date'!AJ22-'By Date'!AI22)</f>
        <v>0</v>
      </c>
      <c r="Z21" s="94">
        <f>IF('By Date'!AK22=0,0, 'By Date'!AK22-'By Date'!AJ22)</f>
        <v>32</v>
      </c>
      <c r="AA21" s="94">
        <f>IF('By Date'!AL22=0,0, 'By Date'!AL22-'By Date'!AK22)</f>
        <v>-2</v>
      </c>
      <c r="AB21" s="94">
        <f>IF('By Date'!AM22=0,0, 'By Date'!AM22-'By Date'!AL22)</f>
        <v>558</v>
      </c>
      <c r="AC21" s="94">
        <f>IF('By Date'!AN22=0,0, 'By Date'!AN22-'By Date'!AM22)</f>
        <v>735</v>
      </c>
      <c r="AD21" s="94">
        <f>IF('By Date'!AO22=0,0, 'By Date'!AO22-'By Date'!AN22)</f>
        <v>1223</v>
      </c>
      <c r="AE21" s="94">
        <f>IF('By Date'!AP22=0,0, 'By Date'!AP22-'By Date'!AO22)</f>
        <v>1271</v>
      </c>
      <c r="AF21" s="94">
        <f>IF('By Date'!AQ22=0,0, 'By Date'!AQ22-'By Date'!AP22)</f>
        <v>840</v>
      </c>
      <c r="AG21" s="94">
        <f t="shared" si="9"/>
        <v>4657</v>
      </c>
    </row>
    <row r="22" spans="7:33" x14ac:dyDescent="0.2">
      <c r="G22" s="94">
        <f t="shared" si="6"/>
        <v>5</v>
      </c>
      <c r="H22" s="94" t="str">
        <f>'By Date'!A14</f>
        <v>Becker</v>
      </c>
      <c r="I22" s="94">
        <f>IF('By Date'!X14=0,0, 'By Date'!X14-'By Date'!W14)</f>
        <v>739</v>
      </c>
      <c r="J22" s="94">
        <f>IF('By Date'!Y14=0,0, 'By Date'!Y14-'By Date'!X14)</f>
        <v>1056</v>
      </c>
      <c r="K22" s="94">
        <f>IF('By Date'!Z14=0,0, 'By Date'!Z14-'By Date'!Y14)</f>
        <v>267</v>
      </c>
      <c r="L22" s="94">
        <f>IF('By Date'!AA14=0,0, 'By Date'!AA14-'By Date'!Z14)</f>
        <v>189</v>
      </c>
      <c r="M22" s="94">
        <f>IF('By Date'!AB14=0,0, 'By Date'!AB14-'By Date'!AA14)</f>
        <v>81</v>
      </c>
      <c r="N22" s="94">
        <f>IF('By Date'!AC14=0,0, 'By Date'!AC14-'By Date'!AB14)</f>
        <v>308</v>
      </c>
      <c r="O22" s="94">
        <f>IF('By Date'!AD14=0,0, 'By Date'!AD14-'By Date'!AC14)</f>
        <v>437</v>
      </c>
      <c r="P22" s="94">
        <f>IF('By Date'!AE14=0,0, 'By Date'!AE14-'By Date'!AD14)</f>
        <v>145</v>
      </c>
      <c r="Q22" s="94">
        <f>IF('By Date'!AF14=0,0, 'By Date'!AF14-'By Date'!AE14)</f>
        <v>0</v>
      </c>
      <c r="R22" s="94">
        <f>IF('By Date'!AG14=0,0, 'By Date'!AG14-'By Date'!AF14)</f>
        <v>149</v>
      </c>
      <c r="S22" s="94">
        <f t="shared" si="7"/>
        <v>3371</v>
      </c>
      <c r="U22" s="94">
        <f t="shared" si="8"/>
        <v>4</v>
      </c>
      <c r="V22" s="94" t="str">
        <f>'By Date'!A21</f>
        <v>Roddick</v>
      </c>
      <c r="W22" s="94">
        <f>IF('By Date'!AH21=0,0, 'By Date'!AH21-'By Date'!AG21)</f>
        <v>-24</v>
      </c>
      <c r="X22" s="94">
        <f>IF('By Date'!AI21=0,0, 'By Date'!AI21-'By Date'!AH21)</f>
        <v>206</v>
      </c>
      <c r="Y22" s="94">
        <f>IF('By Date'!AJ21=0,0, 'By Date'!AJ21-'By Date'!AI21)</f>
        <v>154</v>
      </c>
      <c r="Z22" s="94">
        <f>IF('By Date'!AK21=0,0, 'By Date'!AK21-'By Date'!AJ21)</f>
        <v>951</v>
      </c>
      <c r="AA22" s="94">
        <f>IF('By Date'!AL21=0,0, 'By Date'!AL21-'By Date'!AK21)</f>
        <v>512</v>
      </c>
      <c r="AB22" s="94">
        <f>IF('By Date'!AM21=0,0, 'By Date'!AM21-'By Date'!AL21)</f>
        <v>461</v>
      </c>
      <c r="AC22" s="94">
        <f>IF('By Date'!AN21=0,0, 'By Date'!AN21-'By Date'!AM21)</f>
        <v>210</v>
      </c>
      <c r="AD22" s="94">
        <f>IF('By Date'!AO21=0,0, 'By Date'!AO21-'By Date'!AN21)</f>
        <v>473</v>
      </c>
      <c r="AE22" s="94">
        <f>IF('By Date'!AP21=0,0, 'By Date'!AP21-'By Date'!AO21)</f>
        <v>283</v>
      </c>
      <c r="AF22" s="94">
        <f>IF('By Date'!AQ21=0,0, 'By Date'!AQ21-'By Date'!AP21)</f>
        <v>718</v>
      </c>
      <c r="AG22" s="94">
        <f t="shared" si="9"/>
        <v>3944</v>
      </c>
    </row>
    <row r="23" spans="7:33" x14ac:dyDescent="0.2">
      <c r="G23" s="94">
        <f t="shared" si="6"/>
        <v>6</v>
      </c>
      <c r="H23" s="94" t="str">
        <f>'By Date'!A11</f>
        <v>Lendl</v>
      </c>
      <c r="I23" s="94">
        <f>IF('By Date'!X11=0,0, 'By Date'!X11-'By Date'!W11)</f>
        <v>575</v>
      </c>
      <c r="J23" s="94">
        <f>IF('By Date'!Y11=0,0, 'By Date'!Y11-'By Date'!X11)</f>
        <v>720</v>
      </c>
      <c r="K23" s="94">
        <f>IF('By Date'!Z11=0,0, 'By Date'!Z11-'By Date'!Y11)</f>
        <v>351</v>
      </c>
      <c r="L23" s="94">
        <f>IF('By Date'!AA11=0,0, 'By Date'!AA11-'By Date'!Z11)</f>
        <v>-283</v>
      </c>
      <c r="M23" s="94">
        <f>IF('By Date'!AB11=0,0, 'By Date'!AB11-'By Date'!AA11)</f>
        <v>122</v>
      </c>
      <c r="N23" s="94">
        <f>IF('By Date'!AC11=0,0, 'By Date'!AC11-'By Date'!AB11)</f>
        <v>0</v>
      </c>
      <c r="O23" s="94">
        <f>IF('By Date'!AD11=0,0, 'By Date'!AD11-'By Date'!AC11)</f>
        <v>0</v>
      </c>
      <c r="P23" s="94">
        <f>IF('By Date'!AE11=0,0, 'By Date'!AE11-'By Date'!AD11)</f>
        <v>0</v>
      </c>
      <c r="Q23" s="94">
        <f>IF('By Date'!AF11=0,0, 'By Date'!AF11-'By Date'!AE11)</f>
        <v>0</v>
      </c>
      <c r="R23" s="94">
        <f>IF('By Date'!AG11=0,0, 'By Date'!AG11-'By Date'!AF11)</f>
        <v>0</v>
      </c>
      <c r="S23" s="94">
        <f t="shared" si="7"/>
        <v>1485</v>
      </c>
      <c r="U23" s="94">
        <f t="shared" si="8"/>
        <v>5</v>
      </c>
      <c r="V23" s="94" t="str">
        <f>'By Date'!A15</f>
        <v>Agassi</v>
      </c>
      <c r="W23" s="94">
        <f>IF('By Date'!AH15=0,0, 'By Date'!AH15-'By Date'!AG15)</f>
        <v>644</v>
      </c>
      <c r="X23" s="94">
        <f>IF('By Date'!AI15=0,0, 'By Date'!AI15-'By Date'!AH15)</f>
        <v>911</v>
      </c>
      <c r="Y23" s="94">
        <f>IF('By Date'!AJ15=0,0, 'By Date'!AJ15-'By Date'!AI15)</f>
        <v>272</v>
      </c>
      <c r="Z23" s="94">
        <f>IF('By Date'!AK15=0,0, 'By Date'!AK15-'By Date'!AJ15)</f>
        <v>849</v>
      </c>
      <c r="AA23" s="94">
        <f>IF('By Date'!AL15=0,0, 'By Date'!AL15-'By Date'!AK15)</f>
        <v>265</v>
      </c>
      <c r="AB23" s="94">
        <f>IF('By Date'!AM15=0,0, 'By Date'!AM15-'By Date'!AL15)</f>
        <v>409</v>
      </c>
      <c r="AC23" s="94">
        <f>IF('By Date'!AN15=0,0, 'By Date'!AN15-'By Date'!AM15)</f>
        <v>77</v>
      </c>
      <c r="AD23" s="94">
        <f>IF('By Date'!AO15=0,0, 'By Date'!AO15-'By Date'!AN15)</f>
        <v>0</v>
      </c>
      <c r="AE23" s="94">
        <f>IF('By Date'!AP15=0,0, 'By Date'!AP15-'By Date'!AO15)</f>
        <v>0</v>
      </c>
      <c r="AF23" s="94">
        <f>IF('By Date'!AQ15=0,0, 'By Date'!AQ15-'By Date'!AP15)</f>
        <v>0</v>
      </c>
      <c r="AG23" s="94">
        <f t="shared" si="9"/>
        <v>3427</v>
      </c>
    </row>
    <row r="24" spans="7:33" x14ac:dyDescent="0.2">
      <c r="G24" s="94">
        <f t="shared" si="6"/>
        <v>7</v>
      </c>
      <c r="H24" s="94" t="str">
        <f>'By Date'!A10</f>
        <v>McEnroe</v>
      </c>
      <c r="I24" s="94">
        <f>IF('By Date'!X10=0,0, 'By Date'!X10-'By Date'!W10)</f>
        <v>202</v>
      </c>
      <c r="J24" s="94">
        <f>IF('By Date'!Y10=0,0, 'By Date'!Y10-'By Date'!X10)</f>
        <v>0</v>
      </c>
      <c r="K24" s="94">
        <f>IF('By Date'!Z10=0,0, 'By Date'!Z10-'By Date'!Y10)</f>
        <v>372</v>
      </c>
      <c r="L24" s="94">
        <f>IF('By Date'!AA10=0,0, 'By Date'!AA10-'By Date'!Z10)</f>
        <v>0</v>
      </c>
      <c r="M24" s="94">
        <f>IF('By Date'!AB10=0,0, 'By Date'!AB10-'By Date'!AA10)</f>
        <v>0</v>
      </c>
      <c r="N24" s="94">
        <f>IF('By Date'!AC10=0,0, 'By Date'!AC10-'By Date'!AB10)</f>
        <v>0</v>
      </c>
      <c r="O24" s="94">
        <f>IF('By Date'!AD10=0,0, 'By Date'!AD10-'By Date'!AC10)</f>
        <v>0</v>
      </c>
      <c r="P24" s="94">
        <f>IF('By Date'!AE10=0,0, 'By Date'!AE10-'By Date'!AD10)</f>
        <v>0</v>
      </c>
      <c r="Q24" s="94">
        <f>IF('By Date'!AF10=0,0, 'By Date'!AF10-'By Date'!AE10)</f>
        <v>0</v>
      </c>
      <c r="R24" s="94">
        <f>IF('By Date'!AG10=0,0, 'By Date'!AG10-'By Date'!AF10)</f>
        <v>0</v>
      </c>
      <c r="S24" s="94">
        <f t="shared" si="7"/>
        <v>574</v>
      </c>
      <c r="U24" s="94">
        <f t="shared" si="8"/>
        <v>6</v>
      </c>
      <c r="V24" s="94" t="str">
        <f>'By Date'!A23</f>
        <v>Djokovic</v>
      </c>
      <c r="W24" s="94">
        <f>IF('By Date'!AH23=0,0, 'By Date'!AH23-'By Date'!AG23)</f>
        <v>0</v>
      </c>
      <c r="X24" s="94">
        <f>IF('By Date'!AI23=0,0, 'By Date'!AI23-'By Date'!AH23)</f>
        <v>0</v>
      </c>
      <c r="Y24" s="94">
        <f>IF('By Date'!AJ23=0,0, 'By Date'!AJ23-'By Date'!AI23)</f>
        <v>0</v>
      </c>
      <c r="Z24" s="94">
        <f>IF('By Date'!AK23=0,0, 'By Date'!AK23-'By Date'!AJ23)</f>
        <v>0</v>
      </c>
      <c r="AA24" s="94">
        <f>IF('By Date'!AL23=0,0, 'By Date'!AL23-'By Date'!AK23)</f>
        <v>0</v>
      </c>
      <c r="AB24" s="94">
        <f>IF('By Date'!AM23=0,0, 'By Date'!AM23-'By Date'!AL23)</f>
        <v>146</v>
      </c>
      <c r="AC24" s="94">
        <f>IF('By Date'!AN23=0,0, 'By Date'!AN23-'By Date'!AM23)</f>
        <v>439</v>
      </c>
      <c r="AD24" s="94">
        <f>IF('By Date'!AO23=0,0, 'By Date'!AO23-'By Date'!AN23)</f>
        <v>843</v>
      </c>
      <c r="AE24" s="94">
        <f>IF('By Date'!AP23=0,0, 'By Date'!AP23-'By Date'!AO23)</f>
        <v>855</v>
      </c>
      <c r="AF24" s="94">
        <f>IF('By Date'!AQ23=0,0, 'By Date'!AQ23-'By Date'!AP23)</f>
        <v>382</v>
      </c>
      <c r="AG24" s="94">
        <f t="shared" si="9"/>
        <v>2665</v>
      </c>
    </row>
    <row r="25" spans="7:33" x14ac:dyDescent="0.2">
      <c r="G25" s="94">
        <f t="shared" si="6"/>
        <v>8</v>
      </c>
      <c r="H25" s="94" t="str">
        <f>'By Date'!A8</f>
        <v>Connors</v>
      </c>
      <c r="I25" s="94">
        <f>IF('By Date'!X8=0,0, 'By Date'!X8-'By Date'!W8)</f>
        <v>0</v>
      </c>
      <c r="J25" s="94">
        <f>IF('By Date'!Y8=0,0, 'By Date'!Y8-'By Date'!X8)</f>
        <v>434</v>
      </c>
      <c r="K25" s="94">
        <f>IF('By Date'!Z8=0,0, 'By Date'!Z8-'By Date'!Y8)</f>
        <v>-52</v>
      </c>
      <c r="L25" s="94">
        <f>IF('By Date'!AA8=0,0, 'By Date'!AA8-'By Date'!Z8)</f>
        <v>0</v>
      </c>
      <c r="M25" s="94">
        <f>IF('By Date'!AB8=0,0, 'By Date'!AB8-'By Date'!AA8)</f>
        <v>0</v>
      </c>
      <c r="N25" s="94">
        <f>IF('By Date'!AC8=0,0, 'By Date'!AC8-'By Date'!AB8)</f>
        <v>0</v>
      </c>
      <c r="O25" s="94">
        <f>IF('By Date'!AD8=0,0, 'By Date'!AD8-'By Date'!AC8)</f>
        <v>0</v>
      </c>
      <c r="P25" s="94">
        <f>IF('By Date'!AE8=0,0, 'By Date'!AE8-'By Date'!AD8)</f>
        <v>0</v>
      </c>
      <c r="Q25" s="94">
        <f>IF('By Date'!AF8=0,0, 'By Date'!AF8-'By Date'!AE8)</f>
        <v>0</v>
      </c>
      <c r="R25" s="94">
        <f>IF('By Date'!AG8=0,0, 'By Date'!AG8-'By Date'!AF8)</f>
        <v>0</v>
      </c>
      <c r="S25" s="94">
        <f t="shared" si="7"/>
        <v>382</v>
      </c>
      <c r="U25" s="94">
        <f t="shared" si="8"/>
        <v>7</v>
      </c>
      <c r="V25" s="94" t="str">
        <f>'By Date'!A17</f>
        <v>Sampras</v>
      </c>
      <c r="W25" s="94">
        <f>IF('By Date'!AH17=0,0, 'By Date'!AH17-'By Date'!AG17)</f>
        <v>640</v>
      </c>
      <c r="X25" s="94">
        <f>IF('By Date'!AI17=0,0, 'By Date'!AI17-'By Date'!AH17)</f>
        <v>451</v>
      </c>
      <c r="Y25" s="94">
        <f>IF('By Date'!AJ17=0,0, 'By Date'!AJ17-'By Date'!AI17)</f>
        <v>491</v>
      </c>
      <c r="Z25" s="94">
        <f>IF('By Date'!AK17=0,0, 'By Date'!AK17-'By Date'!AJ17)</f>
        <v>0</v>
      </c>
      <c r="AA25" s="94">
        <f>IF('By Date'!AL17=0,0, 'By Date'!AL17-'By Date'!AK17)</f>
        <v>0</v>
      </c>
      <c r="AB25" s="94">
        <f>IF('By Date'!AM17=0,0, 'By Date'!AM17-'By Date'!AL17)</f>
        <v>0</v>
      </c>
      <c r="AC25" s="94">
        <f>IF('By Date'!AN17=0,0, 'By Date'!AN17-'By Date'!AM17)</f>
        <v>0</v>
      </c>
      <c r="AD25" s="94">
        <f>IF('By Date'!AO17=0,0, 'By Date'!AO17-'By Date'!AN17)</f>
        <v>0</v>
      </c>
      <c r="AE25" s="94">
        <f>IF('By Date'!AP17=0,0, 'By Date'!AP17-'By Date'!AO17)</f>
        <v>0</v>
      </c>
      <c r="AF25" s="94">
        <f>IF('By Date'!AQ17=0,0, 'By Date'!AQ17-'By Date'!AP17)</f>
        <v>0</v>
      </c>
      <c r="AG25" s="94">
        <f t="shared" si="9"/>
        <v>1582</v>
      </c>
    </row>
    <row r="26" spans="7:33" x14ac:dyDescent="0.2">
      <c r="G26" s="94">
        <f t="shared" si="6"/>
        <v>9</v>
      </c>
      <c r="H26" s="94" t="str">
        <f>'By Date'!A18</f>
        <v>Kuerten</v>
      </c>
      <c r="I26" s="94">
        <f>IF('By Date'!X18=0,0, 'By Date'!X18-'By Date'!W18)</f>
        <v>0</v>
      </c>
      <c r="J26" s="94">
        <f>IF('By Date'!Y18=0,0, 'By Date'!Y18-'By Date'!X18)</f>
        <v>0</v>
      </c>
      <c r="K26" s="94">
        <f>IF('By Date'!Z18=0,0, 'By Date'!Z18-'By Date'!Y18)</f>
        <v>0</v>
      </c>
      <c r="L26" s="94">
        <f>IF('By Date'!AA18=0,0, 'By Date'!AA18-'By Date'!Z18)</f>
        <v>0</v>
      </c>
      <c r="M26" s="94">
        <f>IF('By Date'!AB18=0,0, 'By Date'!AB18-'By Date'!AA18)</f>
        <v>0</v>
      </c>
      <c r="N26" s="94">
        <f>IF('By Date'!AC18=0,0, 'By Date'!AC18-'By Date'!AB18)</f>
        <v>0</v>
      </c>
      <c r="O26" s="94">
        <f>IF('By Date'!AD18=0,0, 'By Date'!AD18-'By Date'!AC18)</f>
        <v>-10</v>
      </c>
      <c r="P26" s="94">
        <f>IF('By Date'!AE18=0,0, 'By Date'!AE18-'By Date'!AD18)</f>
        <v>409</v>
      </c>
      <c r="Q26" s="94">
        <f>IF('By Date'!AF18=0,0, 'By Date'!AF18-'By Date'!AE18)</f>
        <v>-317</v>
      </c>
      <c r="R26" s="94">
        <f>IF('By Date'!AG18=0,0, 'By Date'!AG18-'By Date'!AF18)</f>
        <v>184</v>
      </c>
      <c r="S26" s="94">
        <f t="shared" si="7"/>
        <v>266</v>
      </c>
      <c r="U26" s="94">
        <f>RANK(AG26,AG$19:AG$30)</f>
        <v>8</v>
      </c>
      <c r="V26" s="94" t="str">
        <f>'By Date'!A18</f>
        <v>Kuerten</v>
      </c>
      <c r="W26" s="94">
        <f>IF('By Date'!AH18=0,0, 'By Date'!AH18-'By Date'!AG18)</f>
        <v>297</v>
      </c>
      <c r="X26" s="94">
        <f>IF('By Date'!AI18=0,0, 'By Date'!AI18-'By Date'!AH18)</f>
        <v>555</v>
      </c>
      <c r="Y26" s="94">
        <f>IF('By Date'!AJ18=0,0, 'By Date'!AJ18-'By Date'!AI18)</f>
        <v>196</v>
      </c>
      <c r="Z26" s="94">
        <f>IF('By Date'!AK18=0,0, 'By Date'!AK18-'By Date'!AJ18)</f>
        <v>-194</v>
      </c>
      <c r="AA26" s="94">
        <f>IF('By Date'!AL18=0,0, 'By Date'!AL18-'By Date'!AK18)</f>
        <v>138</v>
      </c>
      <c r="AB26" s="94">
        <f>IF('By Date'!AM18=0,0, 'By Date'!AM18-'By Date'!AL18)</f>
        <v>-83</v>
      </c>
      <c r="AC26" s="94">
        <f>IF('By Date'!AN18=0,0, 'By Date'!AN18-'By Date'!AM18)</f>
        <v>0</v>
      </c>
      <c r="AD26" s="94">
        <f>IF('By Date'!AO18=0,0, 'By Date'!AO18-'By Date'!AN18)</f>
        <v>0</v>
      </c>
      <c r="AE26" s="94">
        <f>IF('By Date'!AP18=0,0, 'By Date'!AP18-'By Date'!AO18)</f>
        <v>-18</v>
      </c>
      <c r="AF26" s="94">
        <f>IF('By Date'!AQ18=0,0, 'By Date'!AQ18-'By Date'!AP18)</f>
        <v>0</v>
      </c>
      <c r="AG26" s="94">
        <f>SUM(W26:AF26)</f>
        <v>891</v>
      </c>
    </row>
    <row r="27" spans="7:33" x14ac:dyDescent="0.2">
      <c r="G27" s="94">
        <f t="shared" si="6"/>
        <v>10</v>
      </c>
      <c r="H27" s="94" t="str">
        <f>'By Date'!A12</f>
        <v>Wilander</v>
      </c>
      <c r="I27" s="94">
        <f>IF('By Date'!X12=0,0, 'By Date'!X12-'By Date'!W12)</f>
        <v>185</v>
      </c>
      <c r="J27" s="94">
        <f>IF('By Date'!Y12=0,0, 'By Date'!Y12-'By Date'!X12)</f>
        <v>-40</v>
      </c>
      <c r="K27" s="94">
        <f>IF('By Date'!Z12=0,0, 'By Date'!Z12-'By Date'!Y12)</f>
        <v>0</v>
      </c>
      <c r="L27" s="94">
        <f>IF('By Date'!AA12=0,0, 'By Date'!AA12-'By Date'!Z12)</f>
        <v>78</v>
      </c>
      <c r="M27" s="94">
        <f>IF('By Date'!AB12=0,0, 'By Date'!AB12-'By Date'!AA12)</f>
        <v>-141</v>
      </c>
      <c r="N27" s="94">
        <f>IF('By Date'!AC12=0,0, 'By Date'!AC12-'By Date'!AB12)</f>
        <v>-38</v>
      </c>
      <c r="O27" s="94">
        <f>IF('By Date'!AD12=0,0, 'By Date'!AD12-'By Date'!AC12)</f>
        <v>-15</v>
      </c>
      <c r="P27" s="94">
        <f>IF('By Date'!AE12=0,0, 'By Date'!AE12-'By Date'!AD12)</f>
        <v>0</v>
      </c>
      <c r="Q27" s="94">
        <f>IF('By Date'!AF12=0,0, 'By Date'!AF12-'By Date'!AE12)</f>
        <v>0</v>
      </c>
      <c r="R27" s="94">
        <f>IF('By Date'!AG12=0,0, 'By Date'!AG12-'By Date'!AF12)</f>
        <v>0</v>
      </c>
      <c r="S27" s="94">
        <f t="shared" si="7"/>
        <v>29</v>
      </c>
      <c r="U27" s="94">
        <f>RANK(AG27,AG$19:AG$30)</f>
        <v>9</v>
      </c>
      <c r="V27" s="94" t="str">
        <f>'By Date'!A16</f>
        <v>Courier</v>
      </c>
      <c r="W27" s="94">
        <f>IF('By Date'!AH16=0,0, 'By Date'!AH16-'By Date'!AG16)</f>
        <v>-34</v>
      </c>
      <c r="X27" s="94">
        <f>IF('By Date'!AI16=0,0, 'By Date'!AI16-'By Date'!AH16)</f>
        <v>0</v>
      </c>
      <c r="Y27" s="94">
        <f>IF('By Date'!AJ16=0,0, 'By Date'!AJ16-'By Date'!AI16)</f>
        <v>0</v>
      </c>
      <c r="Z27" s="94">
        <f>IF('By Date'!AK16=0,0, 'By Date'!AK16-'By Date'!AJ16)</f>
        <v>0</v>
      </c>
      <c r="AA27" s="94">
        <f>IF('By Date'!AL16=0,0, 'By Date'!AL16-'By Date'!AK16)</f>
        <v>0</v>
      </c>
      <c r="AB27" s="94">
        <f>IF('By Date'!AM16=0,0, 'By Date'!AM16-'By Date'!AL16)</f>
        <v>0</v>
      </c>
      <c r="AC27" s="94">
        <f>IF('By Date'!AN16=0,0, 'By Date'!AN16-'By Date'!AM16)</f>
        <v>0</v>
      </c>
      <c r="AD27" s="94">
        <f>IF('By Date'!AO16=0,0, 'By Date'!AO16-'By Date'!AN16)</f>
        <v>0</v>
      </c>
      <c r="AE27" s="94">
        <f>IF('By Date'!AP16=0,0, 'By Date'!AP16-'By Date'!AO16)</f>
        <v>0</v>
      </c>
      <c r="AF27" s="94">
        <f>IF('By Date'!AQ16=0,0, 'By Date'!AQ16-'By Date'!AP16)</f>
        <v>0</v>
      </c>
      <c r="AG27" s="94">
        <f>SUM(W27:AF27)</f>
        <v>-34</v>
      </c>
    </row>
    <row r="28" spans="7:33" x14ac:dyDescent="0.2">
      <c r="G28" s="94">
        <f t="shared" si="6"/>
        <v>11</v>
      </c>
      <c r="H28" s="94" t="str">
        <f>'By Date'!A20</f>
        <v>Federer</v>
      </c>
      <c r="I28" s="94">
        <f>IF('By Date'!X20=0,0, 'By Date'!X20-'By Date'!W20)</f>
        <v>0</v>
      </c>
      <c r="J28" s="94">
        <f>IF('By Date'!Y20=0,0, 'By Date'!Y20-'By Date'!X20)</f>
        <v>0</v>
      </c>
      <c r="K28" s="94">
        <f>IF('By Date'!Z20=0,0, 'By Date'!Z20-'By Date'!Y20)</f>
        <v>0</v>
      </c>
      <c r="L28" s="94">
        <f>IF('By Date'!AA20=0,0, 'By Date'!AA20-'By Date'!Z20)</f>
        <v>0</v>
      </c>
      <c r="M28" s="94">
        <f>IF('By Date'!AB20=0,0, 'By Date'!AB20-'By Date'!AA20)</f>
        <v>0</v>
      </c>
      <c r="N28" s="94">
        <f>IF('By Date'!AC20=0,0, 'By Date'!AC20-'By Date'!AB20)</f>
        <v>0</v>
      </c>
      <c r="O28" s="94">
        <f>IF('By Date'!AD20=0,0, 'By Date'!AD20-'By Date'!AC20)</f>
        <v>0</v>
      </c>
      <c r="P28" s="94">
        <f>IF('By Date'!AE20=0,0, 'By Date'!AE20-'By Date'!AD20)</f>
        <v>0</v>
      </c>
      <c r="Q28" s="94">
        <f>IF('By Date'!AF20=0,0, 'By Date'!AF20-'By Date'!AE20)</f>
        <v>0</v>
      </c>
      <c r="R28" s="94">
        <f>IF('By Date'!AG20=0,0, 'By Date'!AG20-'By Date'!AF20)</f>
        <v>-61</v>
      </c>
      <c r="S28" s="94">
        <f t="shared" si="7"/>
        <v>-61</v>
      </c>
    </row>
    <row r="29" spans="7:33" x14ac:dyDescent="0.2">
      <c r="G29" s="94">
        <f t="shared" si="6"/>
        <v>12</v>
      </c>
      <c r="H29" s="94" t="str">
        <f>'By Date'!A19</f>
        <v>Hewitt</v>
      </c>
      <c r="I29" s="94">
        <f>IF('By Date'!X19=0,0, 'By Date'!X19-'By Date'!W19)</f>
        <v>0</v>
      </c>
      <c r="J29" s="94">
        <f>IF('By Date'!Y19=0,0, 'By Date'!Y19-'By Date'!X19)</f>
        <v>0</v>
      </c>
      <c r="K29" s="94">
        <f>IF('By Date'!Z19=0,0, 'By Date'!Z19-'By Date'!Y19)</f>
        <v>0</v>
      </c>
      <c r="L29" s="94">
        <f>IF('By Date'!AA19=0,0, 'By Date'!AA19-'By Date'!Z19)</f>
        <v>0</v>
      </c>
      <c r="M29" s="94">
        <f>IF('By Date'!AB19=0,0, 'By Date'!AB19-'By Date'!AA19)</f>
        <v>0</v>
      </c>
      <c r="N29" s="94">
        <f>IF('By Date'!AC19=0,0, 'By Date'!AC19-'By Date'!AB19)</f>
        <v>0</v>
      </c>
      <c r="O29" s="94">
        <f>IF('By Date'!AD19=0,0, 'By Date'!AD19-'By Date'!AC19)</f>
        <v>0</v>
      </c>
      <c r="P29" s="94">
        <f>IF('By Date'!AE19=0,0, 'By Date'!AE19-'By Date'!AD19)</f>
        <v>-64</v>
      </c>
      <c r="Q29" s="94">
        <f>IF('By Date'!AF19=0,0, 'By Date'!AF19-'By Date'!AE19)</f>
        <v>-54</v>
      </c>
      <c r="R29" s="94">
        <f>IF('By Date'!AG19=0,0, 'By Date'!AG19-'By Date'!AF19)</f>
        <v>-18</v>
      </c>
      <c r="S29" s="94">
        <f t="shared" si="7"/>
        <v>-136</v>
      </c>
    </row>
    <row r="31" spans="7:33" x14ac:dyDescent="0.2">
      <c r="G31" s="199" t="s">
        <v>22</v>
      </c>
      <c r="H31" s="199"/>
      <c r="I31" s="199" t="s">
        <v>199</v>
      </c>
      <c r="J31" s="199"/>
      <c r="K31" s="199"/>
      <c r="L31" s="199"/>
      <c r="M31" s="199"/>
      <c r="N31" s="199"/>
      <c r="O31" s="199"/>
      <c r="P31" s="199"/>
      <c r="Q31" s="199"/>
      <c r="R31" s="199"/>
      <c r="S31" s="199"/>
    </row>
    <row r="32" spans="7:33" x14ac:dyDescent="0.2">
      <c r="G32" s="199"/>
      <c r="H32" s="199"/>
      <c r="I32" s="94">
        <v>2010</v>
      </c>
      <c r="J32" s="94">
        <v>2011</v>
      </c>
      <c r="K32" s="94">
        <v>2012</v>
      </c>
      <c r="L32" s="94">
        <v>2013</v>
      </c>
      <c r="M32" s="94">
        <v>2014</v>
      </c>
      <c r="N32" s="94">
        <v>2015</v>
      </c>
      <c r="O32" s="94">
        <v>2016</v>
      </c>
      <c r="P32" s="94">
        <v>2017</v>
      </c>
      <c r="Q32" s="94">
        <v>2018</v>
      </c>
      <c r="R32" s="94">
        <v>2019</v>
      </c>
      <c r="S32" s="94" t="s">
        <v>194</v>
      </c>
    </row>
    <row r="33" spans="7:19" x14ac:dyDescent="0.2">
      <c r="G33" s="94">
        <f>RANK(S33,S$33:S$37)</f>
        <v>1</v>
      </c>
      <c r="H33" s="94" t="str">
        <f>'By Date'!A23</f>
        <v>Djokovic</v>
      </c>
      <c r="I33" s="94">
        <f>IF('By Date'!AR23=0,0, 'By Date'!AR23-'By Date'!AQ23)</f>
        <v>769</v>
      </c>
      <c r="J33" s="94">
        <f>IF('By Date'!AS23=0,0, 'By Date'!AS23-'By Date'!AR23)</f>
        <v>1856</v>
      </c>
      <c r="K33" s="94">
        <f>IF('By Date'!AT23=0,0, 'By Date'!AT23-'By Date'!AS23)</f>
        <v>1434</v>
      </c>
      <c r="L33" s="94">
        <f>IF('By Date'!AU23=0,0, 'By Date'!AU23-'By Date'!AT23)</f>
        <v>1605</v>
      </c>
      <c r="M33" s="94">
        <f>IF('By Date'!AV23=0,0, 'By Date'!AV23-'By Date'!AU23)</f>
        <v>1443</v>
      </c>
      <c r="N33" s="94">
        <f>IF('By Date'!AW23=0,0, 'By Date'!AW23-'By Date'!AV23)</f>
        <v>1906</v>
      </c>
      <c r="O33" s="94">
        <f>IF('By Date'!AX23=0,0, 'By Date'!AX23-'By Date'!AW23)</f>
        <v>1332</v>
      </c>
      <c r="P33" s="94">
        <f>IF('By Date'!AY23=0,0, 'By Date'!AY23-'By Date'!AX23)</f>
        <v>272</v>
      </c>
      <c r="Q33" s="94">
        <f>IF('By Date'!AZ23=0,0, 'By Date'!AZ23-'By Date'!AY23)</f>
        <v>1190</v>
      </c>
      <c r="R33" s="113">
        <f>IF('By Date'!BA23=0,0, 'By Date'!BA23-'By Date'!AZ23)</f>
        <v>1175</v>
      </c>
      <c r="S33" s="94">
        <f>SUM(I33:R33)</f>
        <v>12982</v>
      </c>
    </row>
    <row r="34" spans="7:19" x14ac:dyDescent="0.2">
      <c r="G34" s="94">
        <f>RANK(S34,S$33:S$37)</f>
        <v>2</v>
      </c>
      <c r="H34" s="94" t="str">
        <f>'By Date'!A22</f>
        <v>Nadal</v>
      </c>
      <c r="I34" s="94">
        <f>IF('By Date'!AR22=0,0, 'By Date'!AR22-'By Date'!AQ22)</f>
        <v>1674</v>
      </c>
      <c r="J34" s="94">
        <f>IF('By Date'!AS22=0,0, 'By Date'!AS22-'By Date'!AR22)</f>
        <v>1216</v>
      </c>
      <c r="K34" s="94">
        <f>IF('By Date'!AT22=0,0, 'By Date'!AT22-'By Date'!AS22)</f>
        <v>702</v>
      </c>
      <c r="L34" s="94">
        <f>IF('By Date'!AU22=0,0, 'By Date'!AU22-'By Date'!AT22)</f>
        <v>917</v>
      </c>
      <c r="M34" s="94">
        <f>IF('By Date'!AV22=0,0, 'By Date'!AV22-'By Date'!AU22)</f>
        <v>864</v>
      </c>
      <c r="N34" s="94">
        <f>IF('By Date'!AW22=0,0, 'By Date'!AW22-'By Date'!AV22)</f>
        <v>257</v>
      </c>
      <c r="O34" s="94">
        <f>IF('By Date'!AX22=0,0, 'By Date'!AX22-'By Date'!AW22)</f>
        <v>-56</v>
      </c>
      <c r="P34" s="94">
        <f>IF('By Date'!AY22=0,0, 'By Date'!AY22-'By Date'!AX22)</f>
        <v>1440</v>
      </c>
      <c r="Q34" s="94">
        <f>IF('By Date'!AZ22=0,0, 'By Date'!AZ22-'By Date'!AY22)</f>
        <v>1095</v>
      </c>
      <c r="R34" s="113">
        <f>IF('By Date'!BA22=0,0, 'By Date'!BA22-'By Date'!AZ22)</f>
        <v>1362</v>
      </c>
      <c r="S34" s="94">
        <f>SUM(I34:R34)</f>
        <v>9471</v>
      </c>
    </row>
    <row r="35" spans="7:19" x14ac:dyDescent="0.2">
      <c r="G35" s="94">
        <f>RANK(S35,S$33:S$37)</f>
        <v>3</v>
      </c>
      <c r="H35" s="94" t="str">
        <f>'By Date'!A20</f>
        <v>Federer</v>
      </c>
      <c r="I35" s="94">
        <f>IF('By Date'!AR20=0,0, 'By Date'!AR20-'By Date'!AQ20)</f>
        <v>1083</v>
      </c>
      <c r="J35" s="94">
        <f>IF('By Date'!AS20=0,0, 'By Date'!AS20-'By Date'!AR20)</f>
        <v>1274</v>
      </c>
      <c r="K35" s="94">
        <f>IF('By Date'!AT20=0,0, 'By Date'!AT20-'By Date'!AS20)</f>
        <v>984</v>
      </c>
      <c r="L35" s="94">
        <f>IF('By Date'!AU20=0,0, 'By Date'!AU20-'By Date'!AT20)</f>
        <v>590</v>
      </c>
      <c r="M35" s="94">
        <f>IF('By Date'!AV20=0,0, 'By Date'!AV20-'By Date'!AU20)</f>
        <v>921</v>
      </c>
      <c r="N35" s="94">
        <f>IF('By Date'!AW20=0,0, 'By Date'!AW20-'By Date'!AV20)</f>
        <v>1075</v>
      </c>
      <c r="O35" s="94">
        <f>IF('By Date'!AX20=0,0, 'By Date'!AX20-'By Date'!AW20)</f>
        <v>570</v>
      </c>
      <c r="P35" s="94">
        <f>IF('By Date'!AY20=0,0, 'By Date'!AY20-'By Date'!AX20)</f>
        <v>1143</v>
      </c>
      <c r="Q35" s="94">
        <f>IF('By Date'!AZ20=0,0, 'By Date'!AZ20-'By Date'!AY20)</f>
        <v>697</v>
      </c>
      <c r="R35" s="113">
        <f>IF('By Date'!BA20=0,0, 'By Date'!BA20-'By Date'!AZ20)</f>
        <v>611</v>
      </c>
      <c r="S35" s="94">
        <f>SUM(I35:R35)</f>
        <v>8948</v>
      </c>
    </row>
    <row r="36" spans="7:19" x14ac:dyDescent="0.2">
      <c r="G36" s="94">
        <f>RANK(S36,S$33:S$37)</f>
        <v>4</v>
      </c>
      <c r="H36" s="94" t="str">
        <f>'By Date'!A21</f>
        <v>Roddick</v>
      </c>
      <c r="I36" s="94">
        <f>IF('By Date'!AR21=0,0, 'By Date'!AR21-'By Date'!AQ21)</f>
        <v>194</v>
      </c>
      <c r="J36" s="94">
        <f>IF('By Date'!AS21=0,0, 'By Date'!AS21-'By Date'!AR21)</f>
        <v>145</v>
      </c>
      <c r="K36" s="94">
        <f>IF('By Date'!AT21=0,0, 'By Date'!AT21-'By Date'!AS21)</f>
        <v>-43</v>
      </c>
      <c r="L36" s="94">
        <f>IF('By Date'!AU21=0,0, 'By Date'!AU21-'By Date'!AT21)</f>
        <v>0</v>
      </c>
      <c r="M36" s="94">
        <f>IF('By Date'!AV21=0,0, 'By Date'!AV21-'By Date'!AU21)</f>
        <v>0</v>
      </c>
      <c r="N36" s="94">
        <f>IF('By Date'!AW21=0,0, 'By Date'!AW21-'By Date'!AV21)</f>
        <v>0</v>
      </c>
      <c r="O36" s="94">
        <f>IF('By Date'!AX21=0,0, 'By Date'!AX21-'By Date'!AW21)</f>
        <v>0</v>
      </c>
      <c r="P36" s="94">
        <f>IF('By Date'!AY21=0,0, 'By Date'!AY21-'By Date'!AX21)</f>
        <v>0</v>
      </c>
      <c r="Q36" s="94">
        <f>IF('By Date'!AZ21=0,0, 'By Date'!AZ21-'By Date'!AY21)</f>
        <v>0</v>
      </c>
      <c r="R36" s="113">
        <f>IF('By Date'!BA21=0,0, 'By Date'!BA21-'By Date'!AZ21)</f>
        <v>0</v>
      </c>
      <c r="S36" s="94">
        <f>SUM(I36:R36)</f>
        <v>296</v>
      </c>
    </row>
    <row r="37" spans="7:19" x14ac:dyDescent="0.2">
      <c r="G37" s="94">
        <f>RANK(S37,S$33:S$37)</f>
        <v>5</v>
      </c>
      <c r="H37" s="94" t="str">
        <f>'By Date'!A19</f>
        <v>Hewitt</v>
      </c>
      <c r="I37" s="94">
        <f>IF('By Date'!AR19=0,0, 'By Date'!AR19-'By Date'!AQ19)</f>
        <v>151</v>
      </c>
      <c r="J37" s="94">
        <f>IF('By Date'!AS19=0,0, 'By Date'!AS19-'By Date'!AR19)</f>
        <v>16</v>
      </c>
      <c r="K37" s="94">
        <f>IF('By Date'!AT19=0,0, 'By Date'!AT19-'By Date'!AS19)</f>
        <v>127</v>
      </c>
      <c r="L37" s="94">
        <f>IF('By Date'!AU19=0,0, 'By Date'!AU19-'By Date'!AT19)</f>
        <v>42</v>
      </c>
      <c r="M37" s="94">
        <f>IF('By Date'!AV19=0,0, 'By Date'!AV19-'By Date'!AU19)</f>
        <v>-91</v>
      </c>
      <c r="N37" s="94">
        <f>IF('By Date'!AW19=0,0, 'By Date'!AW19-'By Date'!AV19)</f>
        <v>-155</v>
      </c>
      <c r="O37" s="94">
        <f>IF('By Date'!AX19=0,0, 'By Date'!AX19-'By Date'!AW19)</f>
        <v>-7</v>
      </c>
      <c r="P37" s="94">
        <f>IF('By Date'!AY19=0,0, 'By Date'!AY19-'By Date'!AX19)</f>
        <v>0</v>
      </c>
      <c r="Q37" s="94">
        <f>IF('By Date'!AZ19=0,0, 'By Date'!AZ19-'By Date'!AY19)</f>
        <v>0</v>
      </c>
      <c r="R37" s="113">
        <f>IF('By Date'!BA19=0,0, 'By Date'!BA19-'By Date'!AZ19)</f>
        <v>0</v>
      </c>
      <c r="S37" s="94">
        <f>SUM(I37:R37)</f>
        <v>83</v>
      </c>
    </row>
  </sheetData>
  <sortState ref="G33:S37">
    <sortCondition ref="G33:G37"/>
  </sortState>
  <mergeCells count="12">
    <mergeCell ref="U1:V2"/>
    <mergeCell ref="W1:AG1"/>
    <mergeCell ref="G16:H17"/>
    <mergeCell ref="I16:S16"/>
    <mergeCell ref="U17:V18"/>
    <mergeCell ref="W17:AG17"/>
    <mergeCell ref="C1:E1"/>
    <mergeCell ref="A1:B2"/>
    <mergeCell ref="G1:H2"/>
    <mergeCell ref="I1:S1"/>
    <mergeCell ref="G31:H32"/>
    <mergeCell ref="I31:S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37"/>
  <sheetViews>
    <sheetView workbookViewId="0">
      <selection activeCell="S33" sqref="S33"/>
    </sheetView>
  </sheetViews>
  <sheetFormatPr baseColWidth="10" defaultColWidth="11.1640625" defaultRowHeight="16" x14ac:dyDescent="0.2"/>
  <cols>
    <col min="1" max="1" width="3.6640625" style="95" customWidth="1"/>
    <col min="2" max="2" width="9.1640625" style="95" customWidth="1"/>
    <col min="3" max="4" width="6.1640625" style="95" customWidth="1"/>
    <col min="5" max="5" width="6" style="95" customWidth="1"/>
    <col min="6" max="6" width="10.83203125" style="95"/>
    <col min="7" max="7" width="4" style="95" customWidth="1"/>
    <col min="8" max="8" width="8.5" style="95" customWidth="1"/>
    <col min="9" max="14" width="5.1640625" style="95" customWidth="1"/>
    <col min="15" max="17" width="5.83203125" style="95" customWidth="1"/>
    <col min="18" max="18" width="6" style="95" customWidth="1"/>
    <col min="19" max="19" width="7.33203125" style="95" customWidth="1"/>
    <col min="20" max="20" width="10.83203125" style="95"/>
    <col min="21" max="21" width="4" style="95" customWidth="1"/>
    <col min="22" max="22" width="8.5" style="95" customWidth="1"/>
    <col min="23" max="31" width="5.1640625" style="95" customWidth="1"/>
    <col min="32" max="32" width="5.83203125" style="95" customWidth="1"/>
    <col min="33" max="33" width="7.33203125" style="95" customWidth="1"/>
  </cols>
  <sheetData>
    <row r="1" spans="1:33" x14ac:dyDescent="0.2">
      <c r="A1" s="194" t="s">
        <v>22</v>
      </c>
      <c r="B1" s="199"/>
      <c r="C1" s="194" t="s">
        <v>193</v>
      </c>
      <c r="D1" s="199"/>
      <c r="E1" s="199"/>
      <c r="G1" s="199" t="s">
        <v>22</v>
      </c>
      <c r="H1" s="199"/>
      <c r="I1" s="199" t="s">
        <v>195</v>
      </c>
      <c r="J1" s="199"/>
      <c r="K1" s="199"/>
      <c r="L1" s="199"/>
      <c r="M1" s="199"/>
      <c r="N1" s="199"/>
      <c r="O1" s="199"/>
      <c r="P1" s="199"/>
      <c r="Q1" s="199"/>
      <c r="R1" s="199"/>
      <c r="S1" s="199"/>
      <c r="U1" s="199" t="s">
        <v>22</v>
      </c>
      <c r="V1" s="199"/>
      <c r="W1" s="199" t="s">
        <v>196</v>
      </c>
      <c r="X1" s="199"/>
      <c r="Y1" s="199"/>
      <c r="Z1" s="199"/>
      <c r="AA1" s="199"/>
      <c r="AB1" s="199"/>
      <c r="AC1" s="199"/>
      <c r="AD1" s="199"/>
      <c r="AE1" s="199"/>
      <c r="AF1" s="199"/>
      <c r="AG1" s="199"/>
    </row>
    <row r="2" spans="1:33" x14ac:dyDescent="0.2">
      <c r="A2" s="199"/>
      <c r="B2" s="199"/>
      <c r="C2" s="95">
        <v>1968</v>
      </c>
      <c r="D2" s="95">
        <v>1969</v>
      </c>
      <c r="E2" s="93" t="s">
        <v>194</v>
      </c>
      <c r="G2" s="199"/>
      <c r="H2" s="199"/>
      <c r="I2" s="95">
        <v>1970</v>
      </c>
      <c r="J2" s="95">
        <v>1971</v>
      </c>
      <c r="K2" s="95">
        <v>1972</v>
      </c>
      <c r="L2" s="95">
        <v>1973</v>
      </c>
      <c r="M2" s="95">
        <v>1974</v>
      </c>
      <c r="N2" s="95">
        <v>1975</v>
      </c>
      <c r="O2" s="95">
        <v>1976</v>
      </c>
      <c r="P2" s="95">
        <v>1977</v>
      </c>
      <c r="Q2" s="95">
        <v>1978</v>
      </c>
      <c r="R2" s="95">
        <v>1979</v>
      </c>
      <c r="S2" s="95" t="s">
        <v>194</v>
      </c>
      <c r="U2" s="199"/>
      <c r="V2" s="199"/>
      <c r="W2" s="95">
        <v>1980</v>
      </c>
      <c r="X2" s="95">
        <v>1981</v>
      </c>
      <c r="Y2" s="95">
        <v>1982</v>
      </c>
      <c r="Z2" s="95">
        <v>1983</v>
      </c>
      <c r="AA2" s="95">
        <v>1984</v>
      </c>
      <c r="AB2" s="95">
        <v>1985</v>
      </c>
      <c r="AC2" s="95">
        <v>1986</v>
      </c>
      <c r="AD2" s="95">
        <v>1987</v>
      </c>
      <c r="AE2" s="95">
        <v>1988</v>
      </c>
      <c r="AF2" s="95">
        <v>1989</v>
      </c>
      <c r="AG2" s="95" t="s">
        <v>194</v>
      </c>
    </row>
    <row r="3" spans="1:33" x14ac:dyDescent="0.2">
      <c r="A3" s="95">
        <f>Decades!A3</f>
        <v>1</v>
      </c>
      <c r="B3" s="95" t="str">
        <f>Decades!B3</f>
        <v>Laver</v>
      </c>
      <c r="C3" s="95">
        <f>Decades!C3</f>
        <v>941</v>
      </c>
      <c r="D3" s="95">
        <f>Decades!D3+C3</f>
        <v>2967</v>
      </c>
      <c r="E3" s="95">
        <f>Decades!E3</f>
        <v>2967</v>
      </c>
      <c r="G3" s="95">
        <f>Decades!G3</f>
        <v>1</v>
      </c>
      <c r="H3" s="95" t="str">
        <f>Decades!H3</f>
        <v>Connors</v>
      </c>
      <c r="I3" s="95">
        <f>Decades!I3</f>
        <v>-18</v>
      </c>
      <c r="J3" s="95">
        <f>Decades!J3+I3</f>
        <v>-61</v>
      </c>
      <c r="K3" s="95">
        <f>Decades!K3+J3</f>
        <v>146</v>
      </c>
      <c r="L3" s="95">
        <f>Decades!L3+K3</f>
        <v>312</v>
      </c>
      <c r="M3" s="95">
        <f>Decades!M3+L3</f>
        <v>1686</v>
      </c>
      <c r="N3" s="95">
        <f>Decades!N3+M3</f>
        <v>2638</v>
      </c>
      <c r="O3" s="95">
        <f>Decades!O3+N3</f>
        <v>3177</v>
      </c>
      <c r="P3" s="95">
        <f>Decades!P3+O3</f>
        <v>3860</v>
      </c>
      <c r="Q3" s="95">
        <f>Decades!Q3+P3</f>
        <v>4787</v>
      </c>
      <c r="R3" s="95">
        <f>Decades!R3+Q3</f>
        <v>5593</v>
      </c>
      <c r="S3" s="95">
        <f>Decades!S3</f>
        <v>5593</v>
      </c>
      <c r="U3" s="95">
        <f>Decades!U3</f>
        <v>1</v>
      </c>
      <c r="V3" s="95" t="str">
        <f>Decades!V3</f>
        <v>Lendl</v>
      </c>
      <c r="W3" s="95">
        <f>Decades!W3</f>
        <v>213</v>
      </c>
      <c r="X3" s="95">
        <f>Decades!X3+W3</f>
        <v>546</v>
      </c>
      <c r="Y3" s="95">
        <f>Decades!Y3+X3</f>
        <v>968</v>
      </c>
      <c r="Z3" s="95">
        <f>Decades!Z3+Y3</f>
        <v>1949</v>
      </c>
      <c r="AA3" s="95">
        <f>Decades!AA3+Z3</f>
        <v>3166</v>
      </c>
      <c r="AB3" s="95">
        <f>Decades!AB3+AA3</f>
        <v>4103</v>
      </c>
      <c r="AC3" s="95">
        <f>Decades!AC3+AB3</f>
        <v>5352</v>
      </c>
      <c r="AD3" s="95">
        <f>Decades!AD3+AC3</f>
        <v>6836</v>
      </c>
      <c r="AE3" s="95">
        <f>Decades!AE3+AD3</f>
        <v>7754</v>
      </c>
      <c r="AF3" s="95">
        <f>Decades!AF3+AE3</f>
        <v>8906</v>
      </c>
      <c r="AG3" s="95">
        <f>Decades!AG3</f>
        <v>8906</v>
      </c>
    </row>
    <row r="4" spans="1:33" x14ac:dyDescent="0.2">
      <c r="A4" s="95">
        <f>Decades!A4</f>
        <v>2</v>
      </c>
      <c r="B4" s="95" t="str">
        <f>Decades!B4</f>
        <v>Rosewall</v>
      </c>
      <c r="C4" s="95">
        <f>Decades!C4</f>
        <v>855</v>
      </c>
      <c r="D4" s="95">
        <f>Decades!D4+C4</f>
        <v>1499</v>
      </c>
      <c r="E4" s="95">
        <f>Decades!E4</f>
        <v>1499</v>
      </c>
      <c r="G4" s="95">
        <f>Decades!G4</f>
        <v>2</v>
      </c>
      <c r="H4" s="95" t="str">
        <f>Decades!H4</f>
        <v>Borg</v>
      </c>
      <c r="I4" s="95">
        <f>Decades!I4</f>
        <v>0</v>
      </c>
      <c r="J4" s="95">
        <f>Decades!J4+I4</f>
        <v>0</v>
      </c>
      <c r="K4" s="95">
        <f>Decades!K4+J4</f>
        <v>0</v>
      </c>
      <c r="L4" s="95">
        <f>Decades!L4+K4</f>
        <v>358</v>
      </c>
      <c r="M4" s="95">
        <f>Decades!M4+L4</f>
        <v>710</v>
      </c>
      <c r="N4" s="95">
        <f>Decades!N4+M4</f>
        <v>1639</v>
      </c>
      <c r="O4" s="95">
        <f>Decades!O4+N4</f>
        <v>2629</v>
      </c>
      <c r="P4" s="95">
        <f>Decades!P4+O4</f>
        <v>3204</v>
      </c>
      <c r="Q4" s="95">
        <f>Decades!Q4+P4</f>
        <v>4496</v>
      </c>
      <c r="R4" s="95">
        <f>Decades!R4+Q4</f>
        <v>5430</v>
      </c>
      <c r="S4" s="95">
        <f>Decades!S4</f>
        <v>5430</v>
      </c>
      <c r="U4" s="95">
        <f>Decades!U4</f>
        <v>2</v>
      </c>
      <c r="V4" s="95" t="str">
        <f>Decades!V4</f>
        <v>Wilander</v>
      </c>
      <c r="W4" s="95">
        <f>Decades!W4</f>
        <v>0</v>
      </c>
      <c r="X4" s="95">
        <f>Decades!X4+W4</f>
        <v>-98</v>
      </c>
      <c r="Y4" s="95">
        <f>Decades!Y4+X4</f>
        <v>636</v>
      </c>
      <c r="Z4" s="95">
        <f>Decades!Z4+Y4</f>
        <v>1680</v>
      </c>
      <c r="AA4" s="95">
        <f>Decades!AA4+Z4</f>
        <v>2407</v>
      </c>
      <c r="AB4" s="95">
        <f>Decades!AB4+AA4</f>
        <v>3373</v>
      </c>
      <c r="AC4" s="95">
        <f>Decades!AC4+AB4</f>
        <v>3420</v>
      </c>
      <c r="AD4" s="95">
        <f>Decades!AD4+AC4</f>
        <v>4270</v>
      </c>
      <c r="AE4" s="95">
        <f>Decades!AE4+AD4</f>
        <v>5780</v>
      </c>
      <c r="AF4" s="95">
        <f>Decades!AF4+AE4</f>
        <v>5890</v>
      </c>
      <c r="AG4" s="95">
        <f>Decades!AG4</f>
        <v>5890</v>
      </c>
    </row>
    <row r="5" spans="1:33" x14ac:dyDescent="0.2">
      <c r="A5" s="95">
        <f>Decades!A5</f>
        <v>3</v>
      </c>
      <c r="B5" s="95" t="str">
        <f>Decades!B5</f>
        <v>Ashe</v>
      </c>
      <c r="C5" s="95">
        <f>Decades!C5</f>
        <v>796</v>
      </c>
      <c r="D5" s="95">
        <f>Decades!D5+C5</f>
        <v>1422</v>
      </c>
      <c r="E5" s="95">
        <f>Decades!E5</f>
        <v>1422</v>
      </c>
      <c r="G5" s="95">
        <f>Decades!G5</f>
        <v>3</v>
      </c>
      <c r="H5" s="95" t="str">
        <f>Decades!H5</f>
        <v>Vilas</v>
      </c>
      <c r="I5" s="95">
        <f>Decades!I5</f>
        <v>-99</v>
      </c>
      <c r="J5" s="95">
        <f>Decades!J5+I5</f>
        <v>-99</v>
      </c>
      <c r="K5" s="95">
        <f>Decades!K5+J5</f>
        <v>-102</v>
      </c>
      <c r="L5" s="95">
        <f>Decades!L5+K5</f>
        <v>-118</v>
      </c>
      <c r="M5" s="95">
        <f>Decades!M5+L5</f>
        <v>42</v>
      </c>
      <c r="N5" s="95">
        <f>Decades!N5+M5</f>
        <v>747</v>
      </c>
      <c r="O5" s="95">
        <f>Decades!O5+N5</f>
        <v>1287</v>
      </c>
      <c r="P5" s="95">
        <f>Decades!P5+O5</f>
        <v>2437</v>
      </c>
      <c r="Q5" s="95">
        <f>Decades!Q5+P5</f>
        <v>3192</v>
      </c>
      <c r="R5" s="95">
        <f>Decades!R5+Q5</f>
        <v>3812</v>
      </c>
      <c r="S5" s="95">
        <f>Decades!S5</f>
        <v>3812</v>
      </c>
      <c r="U5" s="95">
        <f>Decades!U5</f>
        <v>3</v>
      </c>
      <c r="V5" s="95" t="str">
        <f>Decades!V5</f>
        <v>McEnroe</v>
      </c>
      <c r="W5" s="95">
        <f>Decades!W5</f>
        <v>715</v>
      </c>
      <c r="X5" s="95">
        <f>Decades!X5+W5</f>
        <v>1837</v>
      </c>
      <c r="Y5" s="95">
        <f>Decades!Y5+X5</f>
        <v>2415</v>
      </c>
      <c r="Z5" s="95">
        <f>Decades!Z5+Y5</f>
        <v>3039</v>
      </c>
      <c r="AA5" s="95">
        <f>Decades!AA5+Z5</f>
        <v>4342</v>
      </c>
      <c r="AB5" s="95">
        <f>Decades!AB5+AA5</f>
        <v>4950</v>
      </c>
      <c r="AC5" s="95">
        <f>Decades!AC5+AB5</f>
        <v>4930</v>
      </c>
      <c r="AD5" s="95">
        <f>Decades!AD5+AC5</f>
        <v>5088</v>
      </c>
      <c r="AE5" s="95">
        <f>Decades!AE5+AD5</f>
        <v>5053</v>
      </c>
      <c r="AF5" s="95">
        <f>Decades!AF5+AE5</f>
        <v>5364</v>
      </c>
      <c r="AG5" s="95">
        <f>Decades!AG5</f>
        <v>5364</v>
      </c>
    </row>
    <row r="6" spans="1:33" x14ac:dyDescent="0.2">
      <c r="A6" s="95">
        <f>Decades!A6</f>
        <v>4</v>
      </c>
      <c r="B6" s="95" t="str">
        <f>Decades!B6</f>
        <v>Newcombe</v>
      </c>
      <c r="C6" s="95">
        <f>Decades!C6</f>
        <v>249</v>
      </c>
      <c r="D6" s="95">
        <f>Decades!D6+C6</f>
        <v>1314</v>
      </c>
      <c r="E6" s="95">
        <f>Decades!E6</f>
        <v>1314</v>
      </c>
      <c r="G6" s="95">
        <f>Decades!G6</f>
        <v>4</v>
      </c>
      <c r="H6" s="95" t="str">
        <f>Decades!H6</f>
        <v>Newcombe</v>
      </c>
      <c r="I6" s="95">
        <f>Decades!I6</f>
        <v>729</v>
      </c>
      <c r="J6" s="95">
        <f>Decades!J6+I6</f>
        <v>1230</v>
      </c>
      <c r="K6" s="95">
        <f>Decades!K6+J6</f>
        <v>1382</v>
      </c>
      <c r="L6" s="95">
        <f>Decades!L6+K6</f>
        <v>2102</v>
      </c>
      <c r="M6" s="95">
        <f>Decades!M6+L6</f>
        <v>2734</v>
      </c>
      <c r="N6" s="95">
        <f>Decades!N6+M6</f>
        <v>3114</v>
      </c>
      <c r="O6" s="95">
        <f>Decades!O6+N6</f>
        <v>3241</v>
      </c>
      <c r="P6" s="95">
        <f>Decades!P6+O6</f>
        <v>3467</v>
      </c>
      <c r="Q6" s="95">
        <f>Decades!Q6+P6</f>
        <v>3529</v>
      </c>
      <c r="R6" s="95">
        <f>Decades!R6+Q6</f>
        <v>3529</v>
      </c>
      <c r="S6" s="95">
        <f>Decades!S6</f>
        <v>3529</v>
      </c>
      <c r="U6" s="95">
        <f>Decades!U6</f>
        <v>4</v>
      </c>
      <c r="V6" s="95" t="str">
        <f>Decades!V6</f>
        <v>Connors</v>
      </c>
      <c r="W6" s="95">
        <f>Decades!W6</f>
        <v>751</v>
      </c>
      <c r="X6" s="95">
        <f>Decades!X6+W6</f>
        <v>1301</v>
      </c>
      <c r="Y6" s="95">
        <f>Decades!Y6+X6</f>
        <v>2388</v>
      </c>
      <c r="Z6" s="95">
        <f>Decades!Z6+Y6</f>
        <v>3104</v>
      </c>
      <c r="AA6" s="95">
        <f>Decades!AA6+Z6</f>
        <v>3800</v>
      </c>
      <c r="AB6" s="95">
        <f>Decades!AB6+AA6</f>
        <v>4398</v>
      </c>
      <c r="AC6" s="95">
        <f>Decades!AC6+AB6</f>
        <v>4301</v>
      </c>
      <c r="AD6" s="95">
        <f>Decades!AD6+AC6</f>
        <v>4754</v>
      </c>
      <c r="AE6" s="95">
        <f>Decades!AE6+AD6</f>
        <v>4721</v>
      </c>
      <c r="AF6" s="95">
        <f>Decades!AF6+AE6</f>
        <v>4895</v>
      </c>
      <c r="AG6" s="95">
        <f>Decades!AG6</f>
        <v>4895</v>
      </c>
    </row>
    <row r="7" spans="1:33" x14ac:dyDescent="0.2">
      <c r="A7" s="95">
        <f>Decades!A7</f>
        <v>5</v>
      </c>
      <c r="B7" s="95" t="str">
        <f>Decades!B7</f>
        <v>Smith</v>
      </c>
      <c r="C7" s="95">
        <f>Decades!C7</f>
        <v>33</v>
      </c>
      <c r="D7" s="95">
        <f>Decades!D7+C7</f>
        <v>187</v>
      </c>
      <c r="E7" s="95">
        <f>Decades!E7</f>
        <v>187</v>
      </c>
      <c r="G7" s="95">
        <f>Decades!G7</f>
        <v>5</v>
      </c>
      <c r="H7" s="95" t="str">
        <f>Decades!H7</f>
        <v>Rosewall</v>
      </c>
      <c r="I7" s="95">
        <f>Decades!I7</f>
        <v>876</v>
      </c>
      <c r="J7" s="95">
        <f>Decades!J7+I7</f>
        <v>1679</v>
      </c>
      <c r="K7" s="95">
        <f>Decades!K7+J7</f>
        <v>2039</v>
      </c>
      <c r="L7" s="95">
        <f>Decades!L7+K7</f>
        <v>2174</v>
      </c>
      <c r="M7" s="95">
        <f>Decades!M7+L7</f>
        <v>2982</v>
      </c>
      <c r="N7" s="95">
        <f>Decades!N7+M7</f>
        <v>3044</v>
      </c>
      <c r="O7" s="95">
        <f>Decades!O7+N7</f>
        <v>3197</v>
      </c>
      <c r="P7" s="95">
        <f>Decades!P7+O7</f>
        <v>3323</v>
      </c>
      <c r="Q7" s="95">
        <f>Decades!Q7+P7</f>
        <v>3352</v>
      </c>
      <c r="R7" s="95">
        <f>Decades!R7+Q7</f>
        <v>3352</v>
      </c>
      <c r="S7" s="95">
        <f>Decades!S7</f>
        <v>3352</v>
      </c>
      <c r="U7" s="95">
        <f>Decades!U7</f>
        <v>5</v>
      </c>
      <c r="V7" s="95" t="str">
        <f>Decades!V7</f>
        <v>Becker</v>
      </c>
      <c r="W7" s="95">
        <f>Decades!W7</f>
        <v>0</v>
      </c>
      <c r="X7" s="95">
        <f>Decades!X7+W7</f>
        <v>0</v>
      </c>
      <c r="Y7" s="95">
        <f>Decades!Y7+X7</f>
        <v>0</v>
      </c>
      <c r="Z7" s="95">
        <f>Decades!Z7+Y7</f>
        <v>0</v>
      </c>
      <c r="AA7" s="95">
        <f>Decades!AA7+Z7</f>
        <v>203</v>
      </c>
      <c r="AB7" s="95">
        <f>Decades!AB7+AA7</f>
        <v>700</v>
      </c>
      <c r="AC7" s="95">
        <f>Decades!AC7+AB7</f>
        <v>1485</v>
      </c>
      <c r="AD7" s="95">
        <f>Decades!AD7+AC7</f>
        <v>1778</v>
      </c>
      <c r="AE7" s="95">
        <f>Decades!AE7+AD7</f>
        <v>2243</v>
      </c>
      <c r="AF7" s="95">
        <f>Decades!AF7+AE7</f>
        <v>3369</v>
      </c>
      <c r="AG7" s="95">
        <f>Decades!AG7</f>
        <v>3369</v>
      </c>
    </row>
    <row r="8" spans="1:33" x14ac:dyDescent="0.2">
      <c r="G8" s="95">
        <f>Decades!G8</f>
        <v>6</v>
      </c>
      <c r="H8" s="95" t="str">
        <f>Decades!H8</f>
        <v>Ashe</v>
      </c>
      <c r="I8" s="95">
        <f>Decades!I8</f>
        <v>994</v>
      </c>
      <c r="J8" s="95">
        <f>Decades!J8+I8</f>
        <v>1795</v>
      </c>
      <c r="K8" s="95">
        <f>Decades!K8+J8</f>
        <v>2207</v>
      </c>
      <c r="L8" s="95">
        <f>Decades!L8+K8</f>
        <v>2306</v>
      </c>
      <c r="M8" s="95">
        <f>Decades!M8+L8</f>
        <v>2473</v>
      </c>
      <c r="N8" s="95">
        <f>Decades!N8+M8</f>
        <v>3015</v>
      </c>
      <c r="O8" s="95">
        <f>Decades!O8+N8</f>
        <v>3095</v>
      </c>
      <c r="P8" s="95">
        <f>Decades!P8+O8</f>
        <v>3079</v>
      </c>
      <c r="Q8" s="95">
        <f>Decades!Q8+P8</f>
        <v>3299</v>
      </c>
      <c r="R8" s="95">
        <f>Decades!R8+Q8</f>
        <v>3223</v>
      </c>
      <c r="S8" s="95">
        <f>Decades!S8</f>
        <v>3223</v>
      </c>
      <c r="U8" s="95">
        <f>Decades!U8</f>
        <v>6</v>
      </c>
      <c r="V8" s="95" t="str">
        <f>Decades!V8</f>
        <v>Edberg</v>
      </c>
      <c r="W8" s="95">
        <f>Decades!W8</f>
        <v>0</v>
      </c>
      <c r="X8" s="95">
        <f>Decades!X8+W8</f>
        <v>0</v>
      </c>
      <c r="Y8" s="95">
        <f>Decades!Y8+X8</f>
        <v>0</v>
      </c>
      <c r="Z8" s="95">
        <f>Decades!Z8+Y8</f>
        <v>-143</v>
      </c>
      <c r="AA8" s="95">
        <f>Decades!AA8+Z8</f>
        <v>-17</v>
      </c>
      <c r="AB8" s="95">
        <f>Decades!AB8+AA8</f>
        <v>775</v>
      </c>
      <c r="AC8" s="95">
        <f>Decades!AC8+AB8</f>
        <v>1026</v>
      </c>
      <c r="AD8" s="95">
        <f>Decades!AD8+AC8</f>
        <v>1790</v>
      </c>
      <c r="AE8" s="95">
        <f>Decades!AE8+AD8</f>
        <v>2358</v>
      </c>
      <c r="AF8" s="95">
        <f>Decades!AF8+AE8</f>
        <v>3122</v>
      </c>
      <c r="AG8" s="95">
        <f>Decades!AG8</f>
        <v>3122</v>
      </c>
    </row>
    <row r="9" spans="1:33" x14ac:dyDescent="0.2">
      <c r="G9" s="95">
        <f>Decades!G9</f>
        <v>7</v>
      </c>
      <c r="H9" s="95" t="str">
        <f>Decades!H9</f>
        <v>Smith</v>
      </c>
      <c r="I9" s="95">
        <f>Decades!I9</f>
        <v>386</v>
      </c>
      <c r="J9" s="95">
        <f>Decades!J9+I9</f>
        <v>1391</v>
      </c>
      <c r="K9" s="95">
        <f>Decades!K9+J9</f>
        <v>2227</v>
      </c>
      <c r="L9" s="95">
        <f>Decades!L9+K9</f>
        <v>2657</v>
      </c>
      <c r="M9" s="95">
        <f>Decades!M9+L9</f>
        <v>2903</v>
      </c>
      <c r="N9" s="95">
        <f>Decades!N9+M9</f>
        <v>2805</v>
      </c>
      <c r="O9" s="95">
        <f>Decades!O9+N9</f>
        <v>2895</v>
      </c>
      <c r="P9" s="95">
        <f>Decades!P9+O9</f>
        <v>2947</v>
      </c>
      <c r="Q9" s="95">
        <f>Decades!Q9+P9</f>
        <v>2880</v>
      </c>
      <c r="R9" s="95">
        <f>Decades!R9+Q9</f>
        <v>2923</v>
      </c>
      <c r="S9" s="95">
        <f>Decades!S9</f>
        <v>2923</v>
      </c>
      <c r="U9" s="95">
        <f>Decades!U9</f>
        <v>7</v>
      </c>
      <c r="V9" s="95" t="str">
        <f>Decades!V9</f>
        <v>Borg</v>
      </c>
      <c r="W9" s="95">
        <f>Decades!W9</f>
        <v>1371</v>
      </c>
      <c r="X9" s="95">
        <f>Decades!X9+W9</f>
        <v>2547</v>
      </c>
      <c r="Y9" s="95">
        <f>Decades!Y9+X9</f>
        <v>2547</v>
      </c>
      <c r="Z9" s="95">
        <f>Decades!Z9+Y9</f>
        <v>2547</v>
      </c>
      <c r="AA9" s="95">
        <f>Decades!AA9+Z9</f>
        <v>2547</v>
      </c>
      <c r="AB9" s="95">
        <f>Decades!AB9+AA9</f>
        <v>2547</v>
      </c>
      <c r="AC9" s="95">
        <f>Decades!AC9+AB9</f>
        <v>2547</v>
      </c>
      <c r="AD9" s="95">
        <f>Decades!AD9+AC9</f>
        <v>2547</v>
      </c>
      <c r="AE9" s="95">
        <f>Decades!AE9+AD9</f>
        <v>2547</v>
      </c>
      <c r="AF9" s="95">
        <f>Decades!AF9+AE9</f>
        <v>2547</v>
      </c>
      <c r="AG9" s="95">
        <f>Decades!AG9</f>
        <v>2547</v>
      </c>
    </row>
    <row r="10" spans="1:33" x14ac:dyDescent="0.2">
      <c r="G10" s="95">
        <f>Decades!G10</f>
        <v>8</v>
      </c>
      <c r="H10" s="95" t="str">
        <f>Decades!H10</f>
        <v>McEnroe</v>
      </c>
      <c r="I10" s="95">
        <f>Decades!I10</f>
        <v>0</v>
      </c>
      <c r="J10" s="95">
        <f>Decades!J10+I10</f>
        <v>0</v>
      </c>
      <c r="K10" s="95">
        <f>Decades!K10+J10</f>
        <v>0</v>
      </c>
      <c r="L10" s="95">
        <f>Decades!L10+K10</f>
        <v>0</v>
      </c>
      <c r="M10" s="95">
        <f>Decades!M10+L10</f>
        <v>0</v>
      </c>
      <c r="N10" s="95">
        <f>Decades!N10+M10</f>
        <v>0</v>
      </c>
      <c r="O10" s="95">
        <f>Decades!O10+N10</f>
        <v>0</v>
      </c>
      <c r="P10" s="95">
        <f>Decades!P10+O10</f>
        <v>369</v>
      </c>
      <c r="Q10" s="95">
        <f>Decades!Q10+P10</f>
        <v>528</v>
      </c>
      <c r="R10" s="95">
        <f>Decades!R10+Q10</f>
        <v>1139</v>
      </c>
      <c r="S10" s="95">
        <f>Decades!S10</f>
        <v>1139</v>
      </c>
      <c r="U10" s="95">
        <f>Decades!U10</f>
        <v>8</v>
      </c>
      <c r="V10" s="95" t="str">
        <f>Decades!V10</f>
        <v>Vilas</v>
      </c>
      <c r="W10" s="95">
        <f>Decades!W10</f>
        <v>349</v>
      </c>
      <c r="X10" s="95">
        <f>Decades!X10+W10</f>
        <v>531</v>
      </c>
      <c r="Y10" s="95">
        <f>Decades!Y10+X10</f>
        <v>983</v>
      </c>
      <c r="Z10" s="95">
        <f>Decades!Z10+Y10</f>
        <v>920</v>
      </c>
      <c r="AA10" s="95">
        <f>Decades!AA10+Z10</f>
        <v>871</v>
      </c>
      <c r="AB10" s="95">
        <f>Decades!AB10+AA10</f>
        <v>847</v>
      </c>
      <c r="AC10" s="95">
        <f>Decades!AC10+AB10</f>
        <v>806</v>
      </c>
      <c r="AD10" s="95">
        <f>Decades!AD10+AC10</f>
        <v>753</v>
      </c>
      <c r="AE10" s="95">
        <f>Decades!AE10+AD10</f>
        <v>708</v>
      </c>
      <c r="AF10" s="95">
        <f>Decades!AF10+AE10</f>
        <v>609</v>
      </c>
      <c r="AG10" s="95">
        <f>Decades!AG10</f>
        <v>609</v>
      </c>
    </row>
    <row r="11" spans="1:33" x14ac:dyDescent="0.2">
      <c r="G11" s="95">
        <f>Decades!G11</f>
        <v>9</v>
      </c>
      <c r="H11" s="95" t="str">
        <f>Decades!H11</f>
        <v>Laver</v>
      </c>
      <c r="I11" s="95">
        <f>Decades!I11</f>
        <v>175</v>
      </c>
      <c r="J11" s="95">
        <f>Decades!J11+I11</f>
        <v>446</v>
      </c>
      <c r="K11" s="95">
        <f>Decades!K11+J11</f>
        <v>515</v>
      </c>
      <c r="L11" s="95">
        <f>Decades!L11+K11</f>
        <v>573</v>
      </c>
      <c r="M11" s="95">
        <f>Decades!M11+L11</f>
        <v>573</v>
      </c>
      <c r="N11" s="95">
        <f>Decades!N11+M11</f>
        <v>747</v>
      </c>
      <c r="O11" s="95">
        <f>Decades!O11+N11</f>
        <v>747</v>
      </c>
      <c r="P11" s="95">
        <f>Decades!P11+O11</f>
        <v>739</v>
      </c>
      <c r="Q11" s="95">
        <f>Decades!Q11+P11</f>
        <v>739</v>
      </c>
      <c r="R11" s="95">
        <f>Decades!R11+Q11</f>
        <v>739</v>
      </c>
      <c r="S11" s="95">
        <f>Decades!S11</f>
        <v>739</v>
      </c>
      <c r="U11" s="95">
        <f>Decades!U11</f>
        <v>9</v>
      </c>
      <c r="V11" s="95" t="str">
        <f>Decades!V11</f>
        <v>Agassi</v>
      </c>
      <c r="W11" s="95">
        <f>Decades!W11</f>
        <v>0</v>
      </c>
      <c r="X11" s="95">
        <f>Decades!X11+W11</f>
        <v>0</v>
      </c>
      <c r="Y11" s="95">
        <f>Decades!Y11+X11</f>
        <v>0</v>
      </c>
      <c r="Z11" s="95">
        <f>Decades!Z11+Y11</f>
        <v>0</v>
      </c>
      <c r="AA11" s="95">
        <f>Decades!AA11+Z11</f>
        <v>0</v>
      </c>
      <c r="AB11" s="95">
        <f>Decades!AB11+AA11</f>
        <v>0</v>
      </c>
      <c r="AC11" s="95">
        <f>Decades!AC11+AB11</f>
        <v>-99</v>
      </c>
      <c r="AD11" s="95">
        <f>Decades!AD11+AC11</f>
        <v>-210</v>
      </c>
      <c r="AE11" s="95">
        <f>Decades!AE11+AD11</f>
        <v>170</v>
      </c>
      <c r="AF11" s="95">
        <f>Decades!AF11+AE11</f>
        <v>292</v>
      </c>
      <c r="AG11" s="95">
        <f>Decades!AG11</f>
        <v>292</v>
      </c>
    </row>
    <row r="12" spans="1:33" x14ac:dyDescent="0.2">
      <c r="G12" s="95">
        <f>Decades!G12</f>
        <v>10</v>
      </c>
      <c r="H12" s="95" t="str">
        <f>Decades!H12</f>
        <v>Lendl</v>
      </c>
      <c r="I12" s="95">
        <f>Decades!I12</f>
        <v>0</v>
      </c>
      <c r="J12" s="95">
        <f>Decades!J12+I12</f>
        <v>0</v>
      </c>
      <c r="K12" s="95">
        <f>Decades!K12+J12</f>
        <v>0</v>
      </c>
      <c r="L12" s="95">
        <f>Decades!L12+K12</f>
        <v>0</v>
      </c>
      <c r="M12" s="95">
        <f>Decades!M12+L12</f>
        <v>0</v>
      </c>
      <c r="N12" s="95">
        <f>Decades!N12+M12</f>
        <v>0</v>
      </c>
      <c r="O12" s="95">
        <f>Decades!O12+N12</f>
        <v>0</v>
      </c>
      <c r="P12" s="95">
        <f>Decades!P12+O12</f>
        <v>0</v>
      </c>
      <c r="Q12" s="95">
        <f>Decades!Q12+P12</f>
        <v>-99</v>
      </c>
      <c r="R12" s="95">
        <f>Decades!R12+Q12</f>
        <v>32</v>
      </c>
      <c r="S12" s="95">
        <f>Decades!S12</f>
        <v>32</v>
      </c>
      <c r="U12" s="95">
        <f>Decades!U12</f>
        <v>10</v>
      </c>
      <c r="V12" s="95" t="str">
        <f>Decades!V12</f>
        <v>Courier</v>
      </c>
      <c r="W12" s="95">
        <f>Decades!W12</f>
        <v>0</v>
      </c>
      <c r="X12" s="95">
        <f>Decades!X12+W12</f>
        <v>0</v>
      </c>
      <c r="Y12" s="95">
        <f>Decades!Y12+X12</f>
        <v>0</v>
      </c>
      <c r="Z12" s="95">
        <f>Decades!Z12+Y12</f>
        <v>0</v>
      </c>
      <c r="AA12" s="95">
        <f>Decades!AA12+Z12</f>
        <v>0</v>
      </c>
      <c r="AB12" s="95">
        <f>Decades!AB12+AA12</f>
        <v>0</v>
      </c>
      <c r="AC12" s="95">
        <f>Decades!AC12+AB12</f>
        <v>0</v>
      </c>
      <c r="AD12" s="95">
        <f>Decades!AD12+AC12</f>
        <v>0</v>
      </c>
      <c r="AE12" s="95">
        <f>Decades!AE12+AD12</f>
        <v>3</v>
      </c>
      <c r="AF12" s="95">
        <f>Decades!AF12+AE12</f>
        <v>90</v>
      </c>
      <c r="AG12" s="95">
        <f>Decades!AG12</f>
        <v>90</v>
      </c>
    </row>
    <row r="13" spans="1:33" x14ac:dyDescent="0.2">
      <c r="U13" s="95">
        <f>Decades!U13</f>
        <v>11</v>
      </c>
      <c r="V13" s="95" t="str">
        <f>Decades!V13</f>
        <v>Sampras</v>
      </c>
      <c r="W13" s="95">
        <f>Decades!W13</f>
        <v>0</v>
      </c>
      <c r="X13" s="95">
        <f>Decades!X13+W13</f>
        <v>0</v>
      </c>
      <c r="Y13" s="95">
        <f>Decades!Y13+X13</f>
        <v>0</v>
      </c>
      <c r="Z13" s="95">
        <f>Decades!Z13+Y13</f>
        <v>0</v>
      </c>
      <c r="AA13" s="95">
        <f>Decades!AA13+Z13</f>
        <v>0</v>
      </c>
      <c r="AB13" s="95">
        <f>Decades!AB13+AA13</f>
        <v>0</v>
      </c>
      <c r="AC13" s="95">
        <f>Decades!AC13+AB13</f>
        <v>0</v>
      </c>
      <c r="AD13" s="95">
        <f>Decades!AD13+AC13</f>
        <v>0</v>
      </c>
      <c r="AE13" s="95">
        <f>Decades!AE13+AD13</f>
        <v>-69</v>
      </c>
      <c r="AF13" s="95">
        <f>Decades!AF13+AE13</f>
        <v>-106</v>
      </c>
      <c r="AG13" s="95">
        <f>Decades!AG13</f>
        <v>-106</v>
      </c>
    </row>
    <row r="14" spans="1:33" x14ac:dyDescent="0.2">
      <c r="U14" s="95">
        <f>Decades!U14</f>
        <v>12</v>
      </c>
      <c r="V14" s="95" t="str">
        <f>Decades!V14</f>
        <v>Smith</v>
      </c>
      <c r="W14" s="95">
        <f>Decades!W14</f>
        <v>29</v>
      </c>
      <c r="X14" s="95">
        <f>Decades!X14+W14</f>
        <v>128</v>
      </c>
      <c r="Y14" s="95">
        <f>Decades!Y14+X14</f>
        <v>89</v>
      </c>
      <c r="Z14" s="95">
        <f>Decades!Z14+Y14</f>
        <v>-108</v>
      </c>
      <c r="AA14" s="95">
        <f>Decades!AA14+Z14</f>
        <v>-108</v>
      </c>
      <c r="AB14" s="95">
        <f>Decades!AB14+AA14</f>
        <v>-108</v>
      </c>
      <c r="AC14" s="95">
        <f>Decades!AC14+AB14</f>
        <v>-108</v>
      </c>
      <c r="AD14" s="95">
        <f>Decades!AD14+AC14</f>
        <v>-108</v>
      </c>
      <c r="AE14" s="95">
        <f>Decades!AE14+AD14</f>
        <v>-108</v>
      </c>
      <c r="AF14" s="95">
        <f>Decades!AF14+AE14</f>
        <v>-108</v>
      </c>
      <c r="AG14" s="95">
        <f>Decades!AG14</f>
        <v>-108</v>
      </c>
    </row>
    <row r="16" spans="1:33" x14ac:dyDescent="0.2">
      <c r="G16" s="199" t="s">
        <v>22</v>
      </c>
      <c r="H16" s="199"/>
      <c r="I16" s="199" t="s">
        <v>197</v>
      </c>
      <c r="J16" s="199"/>
      <c r="K16" s="199"/>
      <c r="L16" s="199"/>
      <c r="M16" s="199"/>
      <c r="N16" s="199"/>
      <c r="O16" s="199"/>
      <c r="P16" s="199"/>
      <c r="Q16" s="199"/>
      <c r="R16" s="199"/>
      <c r="S16" s="199"/>
    </row>
    <row r="17" spans="7:33" x14ac:dyDescent="0.2">
      <c r="G17" s="199"/>
      <c r="H17" s="199"/>
      <c r="I17" s="95">
        <v>1990</v>
      </c>
      <c r="J17" s="95">
        <v>1991</v>
      </c>
      <c r="K17" s="95">
        <v>1992</v>
      </c>
      <c r="L17" s="95">
        <v>1993</v>
      </c>
      <c r="M17" s="95">
        <v>1994</v>
      </c>
      <c r="N17" s="95">
        <v>1995</v>
      </c>
      <c r="O17" s="95">
        <v>1996</v>
      </c>
      <c r="P17" s="95">
        <v>1997</v>
      </c>
      <c r="Q17" s="95">
        <v>1998</v>
      </c>
      <c r="R17" s="95">
        <v>1999</v>
      </c>
      <c r="S17" s="95" t="s">
        <v>194</v>
      </c>
      <c r="U17" s="199" t="s">
        <v>22</v>
      </c>
      <c r="V17" s="199"/>
      <c r="W17" s="199" t="s">
        <v>198</v>
      </c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</row>
    <row r="18" spans="7:33" x14ac:dyDescent="0.2">
      <c r="G18" s="95">
        <f>Decades!G18</f>
        <v>1</v>
      </c>
      <c r="H18" s="95" t="str">
        <f>Decades!H18</f>
        <v>Sampras</v>
      </c>
      <c r="I18" s="95">
        <f>Decades!I18</f>
        <v>611</v>
      </c>
      <c r="J18" s="95">
        <f>Decades!J18+I18</f>
        <v>680</v>
      </c>
      <c r="K18" s="95">
        <f>Decades!K18+J18</f>
        <v>1415</v>
      </c>
      <c r="L18" s="95">
        <f>Decades!L18+K18</f>
        <v>2831</v>
      </c>
      <c r="M18" s="95">
        <f>Decades!M18+L18</f>
        <v>3930</v>
      </c>
      <c r="N18" s="95">
        <f>Decades!N18+M18</f>
        <v>4959</v>
      </c>
      <c r="O18" s="95">
        <f>Decades!O18+N18</f>
        <v>5955</v>
      </c>
      <c r="P18" s="95">
        <f>Decades!P18+O18</f>
        <v>6864</v>
      </c>
      <c r="Q18" s="95">
        <f>Decades!Q18+P18</f>
        <v>7633</v>
      </c>
      <c r="R18" s="95">
        <f>Decades!R18+Q18</f>
        <v>7915</v>
      </c>
      <c r="S18" s="95">
        <f>Decades!S18</f>
        <v>7915</v>
      </c>
      <c r="U18" s="199"/>
      <c r="V18" s="199"/>
      <c r="W18" s="95">
        <v>2000</v>
      </c>
      <c r="X18" s="95">
        <v>2001</v>
      </c>
      <c r="Y18" s="95">
        <v>2002</v>
      </c>
      <c r="Z18" s="95">
        <v>2003</v>
      </c>
      <c r="AA18" s="95">
        <v>2004</v>
      </c>
      <c r="AB18" s="95">
        <v>2005</v>
      </c>
      <c r="AC18" s="95">
        <v>2006</v>
      </c>
      <c r="AD18" s="95">
        <v>2007</v>
      </c>
      <c r="AE18" s="95">
        <v>2008</v>
      </c>
      <c r="AF18" s="95">
        <v>2009</v>
      </c>
      <c r="AG18" s="95" t="s">
        <v>194</v>
      </c>
    </row>
    <row r="19" spans="7:33" x14ac:dyDescent="0.2">
      <c r="G19" s="95">
        <f>Decades!G19</f>
        <v>2</v>
      </c>
      <c r="H19" s="95" t="str">
        <f>Decades!H19</f>
        <v>Agassi</v>
      </c>
      <c r="I19" s="95">
        <f>Decades!I19</f>
        <v>660</v>
      </c>
      <c r="J19" s="95">
        <f>Decades!J19+I19</f>
        <v>1114</v>
      </c>
      <c r="K19" s="95">
        <f>Decades!K19+J19</f>
        <v>2067</v>
      </c>
      <c r="L19" s="95">
        <f>Decades!L19+K19</f>
        <v>2173</v>
      </c>
      <c r="M19" s="95">
        <f>Decades!M19+L19</f>
        <v>2803</v>
      </c>
      <c r="N19" s="95">
        <f>Decades!N19+M19</f>
        <v>3873</v>
      </c>
      <c r="O19" s="95">
        <f>Decades!O19+N19</f>
        <v>4073</v>
      </c>
      <c r="P19" s="95">
        <f>Decades!P19+O19</f>
        <v>4119</v>
      </c>
      <c r="Q19" s="95">
        <f>Decades!Q19+P19</f>
        <v>4213</v>
      </c>
      <c r="R19" s="95">
        <f>Decades!R19+Q19</f>
        <v>5172</v>
      </c>
      <c r="S19" s="95">
        <f>Decades!S19</f>
        <v>5172</v>
      </c>
      <c r="U19" s="95">
        <f>Decades!U19</f>
        <v>1</v>
      </c>
      <c r="V19" s="95" t="str">
        <f>Decades!V19</f>
        <v>Federer</v>
      </c>
      <c r="W19" s="95">
        <f>Decades!W19</f>
        <v>17</v>
      </c>
      <c r="X19" s="95">
        <f>Decades!X19+W19</f>
        <v>483</v>
      </c>
      <c r="Y19" s="95">
        <f>Decades!Y19+X19</f>
        <v>455</v>
      </c>
      <c r="Z19" s="95">
        <f>Decades!Z19+Y19</f>
        <v>949</v>
      </c>
      <c r="AA19" s="95">
        <f>Decades!AA19+Z19</f>
        <v>2246</v>
      </c>
      <c r="AB19" s="95">
        <f>Decades!AB19+AA19</f>
        <v>3662</v>
      </c>
      <c r="AC19" s="95">
        <f>Decades!AC19+AB19</f>
        <v>5339</v>
      </c>
      <c r="AD19" s="95">
        <f>Decades!AD19+AC19</f>
        <v>7189</v>
      </c>
      <c r="AE19" s="95">
        <f>Decades!AE19+AD19</f>
        <v>8531</v>
      </c>
      <c r="AF19" s="95">
        <f>Decades!AF19+AE19</f>
        <v>10390</v>
      </c>
      <c r="AG19" s="95">
        <f>Decades!AG19</f>
        <v>10390</v>
      </c>
    </row>
    <row r="20" spans="7:33" x14ac:dyDescent="0.2">
      <c r="G20" s="95">
        <f>Decades!G20</f>
        <v>3</v>
      </c>
      <c r="H20" s="95" t="str">
        <f>Decades!H20</f>
        <v>Courier</v>
      </c>
      <c r="I20" s="95">
        <f>Decades!I20</f>
        <v>-54</v>
      </c>
      <c r="J20" s="95">
        <f>Decades!J20+I20</f>
        <v>925</v>
      </c>
      <c r="K20" s="95">
        <f>Decades!K20+J20</f>
        <v>2013</v>
      </c>
      <c r="L20" s="95">
        <f>Decades!L20+K20</f>
        <v>3182</v>
      </c>
      <c r="M20" s="95">
        <f>Decades!M20+L20</f>
        <v>3662</v>
      </c>
      <c r="N20" s="95">
        <f>Decades!N20+M20</f>
        <v>4133</v>
      </c>
      <c r="O20" s="95">
        <f>Decades!O20+N20</f>
        <v>4260</v>
      </c>
      <c r="P20" s="95">
        <f>Decades!P20+O20</f>
        <v>4121</v>
      </c>
      <c r="Q20" s="95">
        <f>Decades!Q20+P20</f>
        <v>4038</v>
      </c>
      <c r="R20" s="95">
        <f>Decades!R20+Q20</f>
        <v>4093</v>
      </c>
      <c r="S20" s="95">
        <f>Decades!S20</f>
        <v>4093</v>
      </c>
      <c r="U20" s="95">
        <f>Decades!U20</f>
        <v>2</v>
      </c>
      <c r="V20" s="95" t="str">
        <f>Decades!V20</f>
        <v>Hewitt</v>
      </c>
      <c r="W20" s="95">
        <f>Decades!W20</f>
        <v>342</v>
      </c>
      <c r="X20" s="95">
        <f>Decades!X20+W20</f>
        <v>1039</v>
      </c>
      <c r="Y20" s="95">
        <f>Decades!Y20+X20</f>
        <v>1728</v>
      </c>
      <c r="Z20" s="95">
        <f>Decades!Z20+Y20</f>
        <v>1894</v>
      </c>
      <c r="AA20" s="95">
        <f>Decades!AA20+Z20</f>
        <v>2680</v>
      </c>
      <c r="AB20" s="95">
        <f>Decades!AB20+AA20</f>
        <v>3557</v>
      </c>
      <c r="AC20" s="95">
        <f>Decades!AC20+AB20</f>
        <v>4000</v>
      </c>
      <c r="AD20" s="95">
        <f>Decades!AD20+AC20</f>
        <v>4234</v>
      </c>
      <c r="AE20" s="95">
        <f>Decades!AE20+AD20</f>
        <v>4567</v>
      </c>
      <c r="AF20" s="95">
        <f>Decades!AF20+AE20</f>
        <v>4862</v>
      </c>
      <c r="AG20" s="95">
        <f>Decades!AG20</f>
        <v>4862</v>
      </c>
    </row>
    <row r="21" spans="7:33" x14ac:dyDescent="0.2">
      <c r="G21" s="95">
        <f>Decades!G21</f>
        <v>4</v>
      </c>
      <c r="H21" s="95" t="str">
        <f>Decades!H21</f>
        <v>Edberg</v>
      </c>
      <c r="I21" s="95">
        <f>Decades!I21</f>
        <v>623</v>
      </c>
      <c r="J21" s="95">
        <f>Decades!J21+I21</f>
        <v>1544</v>
      </c>
      <c r="K21" s="95">
        <f>Decades!K21+J21</f>
        <v>2362</v>
      </c>
      <c r="L21" s="95">
        <f>Decades!L21+K21</f>
        <v>2963</v>
      </c>
      <c r="M21" s="95">
        <f>Decades!M21+L21</f>
        <v>3023</v>
      </c>
      <c r="N21" s="95">
        <f>Decades!N21+M21</f>
        <v>3025</v>
      </c>
      <c r="O21" s="95">
        <f>Decades!O21+N21</f>
        <v>3446</v>
      </c>
      <c r="P21" s="95">
        <f>Decades!P21+O21</f>
        <v>3446</v>
      </c>
      <c r="Q21" s="95">
        <f>Decades!Q21+P21</f>
        <v>3446</v>
      </c>
      <c r="R21" s="95">
        <f>Decades!R21+Q21</f>
        <v>3446</v>
      </c>
      <c r="S21" s="95">
        <f>Decades!S21</f>
        <v>3446</v>
      </c>
      <c r="U21" s="95">
        <f>Decades!U21</f>
        <v>3</v>
      </c>
      <c r="V21" s="95" t="str">
        <f>Decades!V21</f>
        <v>Nadal</v>
      </c>
      <c r="W21" s="95">
        <f>Decades!W21</f>
        <v>0</v>
      </c>
      <c r="X21" s="95">
        <f>Decades!X21+W21</f>
        <v>0</v>
      </c>
      <c r="Y21" s="95">
        <f>Decades!Y21+X21</f>
        <v>0</v>
      </c>
      <c r="Z21" s="95">
        <f>Decades!Z21+Y21</f>
        <v>32</v>
      </c>
      <c r="AA21" s="95">
        <f>Decades!AA21+Z21</f>
        <v>30</v>
      </c>
      <c r="AB21" s="95">
        <f>Decades!AB21+AA21</f>
        <v>588</v>
      </c>
      <c r="AC21" s="95">
        <f>Decades!AC21+AB21</f>
        <v>1323</v>
      </c>
      <c r="AD21" s="95">
        <f>Decades!AD21+AC21</f>
        <v>2546</v>
      </c>
      <c r="AE21" s="95">
        <f>Decades!AE21+AD21</f>
        <v>3817</v>
      </c>
      <c r="AF21" s="95">
        <f>Decades!AF21+AE21</f>
        <v>4657</v>
      </c>
      <c r="AG21" s="95">
        <f>Decades!AG21</f>
        <v>4657</v>
      </c>
    </row>
    <row r="22" spans="7:33" x14ac:dyDescent="0.2">
      <c r="G22" s="95">
        <f>Decades!G22</f>
        <v>5</v>
      </c>
      <c r="H22" s="95" t="str">
        <f>Decades!H22</f>
        <v>Becker</v>
      </c>
      <c r="I22" s="95">
        <f>Decades!I22</f>
        <v>739</v>
      </c>
      <c r="J22" s="95">
        <f>Decades!J22+I22</f>
        <v>1795</v>
      </c>
      <c r="K22" s="95">
        <f>Decades!K22+J22</f>
        <v>2062</v>
      </c>
      <c r="L22" s="95">
        <f>Decades!L22+K22</f>
        <v>2251</v>
      </c>
      <c r="M22" s="95">
        <f>Decades!M22+L22</f>
        <v>2332</v>
      </c>
      <c r="N22" s="95">
        <f>Decades!N22+M22</f>
        <v>2640</v>
      </c>
      <c r="O22" s="95">
        <f>Decades!O22+N22</f>
        <v>3077</v>
      </c>
      <c r="P22" s="95">
        <f>Decades!P22+O22</f>
        <v>3222</v>
      </c>
      <c r="Q22" s="95">
        <f>Decades!Q22+P22</f>
        <v>3222</v>
      </c>
      <c r="R22" s="95">
        <f>Decades!R22+Q22</f>
        <v>3371</v>
      </c>
      <c r="S22" s="95">
        <f>Decades!S22</f>
        <v>3371</v>
      </c>
      <c r="U22" s="95">
        <f>Decades!U22</f>
        <v>4</v>
      </c>
      <c r="V22" s="95" t="str">
        <f>Decades!V22</f>
        <v>Roddick</v>
      </c>
      <c r="W22" s="95">
        <f>Decades!W22</f>
        <v>-24</v>
      </c>
      <c r="X22" s="95">
        <f>Decades!X22+W22</f>
        <v>182</v>
      </c>
      <c r="Y22" s="95">
        <f>Decades!Y22+X22</f>
        <v>336</v>
      </c>
      <c r="Z22" s="95">
        <f>Decades!Z22+Y22</f>
        <v>1287</v>
      </c>
      <c r="AA22" s="95">
        <f>Decades!AA22+Z22</f>
        <v>1799</v>
      </c>
      <c r="AB22" s="95">
        <f>Decades!AB22+AA22</f>
        <v>2260</v>
      </c>
      <c r="AC22" s="95">
        <f>Decades!AC22+AB22</f>
        <v>2470</v>
      </c>
      <c r="AD22" s="95">
        <f>Decades!AD22+AC22</f>
        <v>2943</v>
      </c>
      <c r="AE22" s="95">
        <f>Decades!AE22+AD22</f>
        <v>3226</v>
      </c>
      <c r="AF22" s="95">
        <f>Decades!AF22+AE22</f>
        <v>3944</v>
      </c>
      <c r="AG22" s="95">
        <f>Decades!AG22</f>
        <v>3944</v>
      </c>
    </row>
    <row r="23" spans="7:33" x14ac:dyDescent="0.2">
      <c r="G23" s="95">
        <f>Decades!G23</f>
        <v>6</v>
      </c>
      <c r="H23" s="95" t="str">
        <f>Decades!H23</f>
        <v>Lendl</v>
      </c>
      <c r="I23" s="95">
        <f>Decades!I23</f>
        <v>575</v>
      </c>
      <c r="J23" s="95">
        <f>Decades!J23+I23</f>
        <v>1295</v>
      </c>
      <c r="K23" s="95">
        <f>Decades!K23+J23</f>
        <v>1646</v>
      </c>
      <c r="L23" s="95">
        <f>Decades!L23+K23</f>
        <v>1363</v>
      </c>
      <c r="M23" s="95">
        <f>Decades!M23+L23</f>
        <v>1485</v>
      </c>
      <c r="N23" s="95">
        <f>Decades!N23+M23</f>
        <v>1485</v>
      </c>
      <c r="O23" s="95">
        <f>Decades!O23+N23</f>
        <v>1485</v>
      </c>
      <c r="P23" s="95">
        <f>Decades!P23+O23</f>
        <v>1485</v>
      </c>
      <c r="Q23" s="95">
        <f>Decades!Q23+P23</f>
        <v>1485</v>
      </c>
      <c r="R23" s="95">
        <f>Decades!R23+Q23</f>
        <v>1485</v>
      </c>
      <c r="S23" s="95">
        <f>Decades!S23</f>
        <v>1485</v>
      </c>
      <c r="U23" s="95">
        <f>Decades!U23</f>
        <v>5</v>
      </c>
      <c r="V23" s="95" t="str">
        <f>Decades!V23</f>
        <v>Agassi</v>
      </c>
      <c r="W23" s="95">
        <f>Decades!W23</f>
        <v>644</v>
      </c>
      <c r="X23" s="95">
        <f>Decades!X23+W23</f>
        <v>1555</v>
      </c>
      <c r="Y23" s="95">
        <f>Decades!Y23+X23</f>
        <v>1827</v>
      </c>
      <c r="Z23" s="95">
        <f>Decades!Z23+Y23</f>
        <v>2676</v>
      </c>
      <c r="AA23" s="95">
        <f>Decades!AA23+Z23</f>
        <v>2941</v>
      </c>
      <c r="AB23" s="95">
        <f>Decades!AB23+AA23</f>
        <v>3350</v>
      </c>
      <c r="AC23" s="95">
        <f>Decades!AC23+AB23</f>
        <v>3427</v>
      </c>
      <c r="AD23" s="95">
        <f>Decades!AD23+AC23</f>
        <v>3427</v>
      </c>
      <c r="AE23" s="95">
        <f>Decades!AE23+AD23</f>
        <v>3427</v>
      </c>
      <c r="AF23" s="95">
        <f>Decades!AF23+AE23</f>
        <v>3427</v>
      </c>
      <c r="AG23" s="95">
        <f>Decades!AG23</f>
        <v>3427</v>
      </c>
    </row>
    <row r="24" spans="7:33" x14ac:dyDescent="0.2">
      <c r="G24" s="95">
        <f>Decades!G24</f>
        <v>7</v>
      </c>
      <c r="H24" s="95" t="str">
        <f>Decades!H24</f>
        <v>McEnroe</v>
      </c>
      <c r="I24" s="95">
        <f>Decades!I24</f>
        <v>202</v>
      </c>
      <c r="J24" s="95">
        <f>Decades!J24+I24</f>
        <v>202</v>
      </c>
      <c r="K24" s="95">
        <f>Decades!K24+J24</f>
        <v>574</v>
      </c>
      <c r="L24" s="95">
        <f>Decades!L24+K24</f>
        <v>574</v>
      </c>
      <c r="M24" s="95">
        <f>Decades!M24+L24</f>
        <v>574</v>
      </c>
      <c r="N24" s="95">
        <f>Decades!N24+M24</f>
        <v>574</v>
      </c>
      <c r="O24" s="95">
        <f>Decades!O24+N24</f>
        <v>574</v>
      </c>
      <c r="P24" s="95">
        <f>Decades!P24+O24</f>
        <v>574</v>
      </c>
      <c r="Q24" s="95">
        <f>Decades!Q24+P24</f>
        <v>574</v>
      </c>
      <c r="R24" s="95">
        <f>Decades!R24+Q24</f>
        <v>574</v>
      </c>
      <c r="S24" s="95">
        <f>Decades!S24</f>
        <v>574</v>
      </c>
      <c r="U24" s="95">
        <f>Decades!U24</f>
        <v>6</v>
      </c>
      <c r="V24" s="95" t="str">
        <f>Decades!V24</f>
        <v>Djokovic</v>
      </c>
      <c r="W24" s="95">
        <f>Decades!W24</f>
        <v>0</v>
      </c>
      <c r="X24" s="95">
        <f>Decades!X24+W24</f>
        <v>0</v>
      </c>
      <c r="Y24" s="95">
        <f>Decades!Y24+X24</f>
        <v>0</v>
      </c>
      <c r="Z24" s="95">
        <f>Decades!Z24+Y24</f>
        <v>0</v>
      </c>
      <c r="AA24" s="95">
        <f>Decades!AA24+Z24</f>
        <v>0</v>
      </c>
      <c r="AB24" s="95">
        <f>Decades!AB24+AA24</f>
        <v>146</v>
      </c>
      <c r="AC24" s="95">
        <f>Decades!AC24+AB24</f>
        <v>585</v>
      </c>
      <c r="AD24" s="95">
        <f>Decades!AD24+AC24</f>
        <v>1428</v>
      </c>
      <c r="AE24" s="95">
        <f>Decades!AE24+AD24</f>
        <v>2283</v>
      </c>
      <c r="AF24" s="95">
        <f>Decades!AF24+AE24</f>
        <v>2665</v>
      </c>
      <c r="AG24" s="95">
        <f>Decades!AG24</f>
        <v>2665</v>
      </c>
    </row>
    <row r="25" spans="7:33" x14ac:dyDescent="0.2">
      <c r="G25" s="95">
        <f>Decades!G25</f>
        <v>8</v>
      </c>
      <c r="H25" s="95" t="str">
        <f>Decades!H25</f>
        <v>Connors</v>
      </c>
      <c r="I25" s="95">
        <f>Decades!I25</f>
        <v>0</v>
      </c>
      <c r="J25" s="95">
        <f>Decades!J25+I25</f>
        <v>434</v>
      </c>
      <c r="K25" s="95">
        <f>Decades!K25+J25</f>
        <v>382</v>
      </c>
      <c r="L25" s="95">
        <f>Decades!L25+K25</f>
        <v>382</v>
      </c>
      <c r="M25" s="95">
        <f>Decades!M25+L25</f>
        <v>382</v>
      </c>
      <c r="N25" s="95">
        <f>Decades!N25+M25</f>
        <v>382</v>
      </c>
      <c r="O25" s="95">
        <f>Decades!O25+N25</f>
        <v>382</v>
      </c>
      <c r="P25" s="95">
        <f>Decades!P25+O25</f>
        <v>382</v>
      </c>
      <c r="Q25" s="95">
        <f>Decades!Q25+P25</f>
        <v>382</v>
      </c>
      <c r="R25" s="95">
        <f>Decades!R25+Q25</f>
        <v>382</v>
      </c>
      <c r="S25" s="95">
        <f>Decades!S25</f>
        <v>382</v>
      </c>
      <c r="U25" s="95">
        <f>Decades!U25</f>
        <v>7</v>
      </c>
      <c r="V25" s="95" t="str">
        <f>Decades!V25</f>
        <v>Sampras</v>
      </c>
      <c r="W25" s="95">
        <f>Decades!W25</f>
        <v>640</v>
      </c>
      <c r="X25" s="95">
        <f>Decades!X25+W25</f>
        <v>1091</v>
      </c>
      <c r="Y25" s="95">
        <f>Decades!Y25+X25</f>
        <v>1582</v>
      </c>
      <c r="Z25" s="95">
        <f>Decades!Z25+Y25</f>
        <v>1582</v>
      </c>
      <c r="AA25" s="95">
        <f>Decades!AA25+Z25</f>
        <v>1582</v>
      </c>
      <c r="AB25" s="95">
        <f>Decades!AB25+AA25</f>
        <v>1582</v>
      </c>
      <c r="AC25" s="95">
        <f>Decades!AC25+AB25</f>
        <v>1582</v>
      </c>
      <c r="AD25" s="95">
        <f>Decades!AD25+AC25</f>
        <v>1582</v>
      </c>
      <c r="AE25" s="95">
        <f>Decades!AE25+AD25</f>
        <v>1582</v>
      </c>
      <c r="AF25" s="95">
        <f>Decades!AF25+AE25</f>
        <v>1582</v>
      </c>
      <c r="AG25" s="95">
        <f>Decades!AG25</f>
        <v>1582</v>
      </c>
    </row>
    <row r="26" spans="7:33" x14ac:dyDescent="0.2">
      <c r="G26" s="95">
        <f>Decades!G26</f>
        <v>9</v>
      </c>
      <c r="H26" s="95" t="str">
        <f>Decades!H26</f>
        <v>Kuerten</v>
      </c>
      <c r="I26" s="95">
        <f>Decades!I26</f>
        <v>0</v>
      </c>
      <c r="J26" s="95">
        <f>Decades!J26+I26</f>
        <v>0</v>
      </c>
      <c r="K26" s="95">
        <f>Decades!K26+J26</f>
        <v>0</v>
      </c>
      <c r="L26" s="95">
        <f>Decades!L26+K26</f>
        <v>0</v>
      </c>
      <c r="M26" s="95">
        <f>Decades!M26+L26</f>
        <v>0</v>
      </c>
      <c r="N26" s="95">
        <f>Decades!N26+M26</f>
        <v>0</v>
      </c>
      <c r="O26" s="95">
        <f>Decades!O26+N26</f>
        <v>-10</v>
      </c>
      <c r="P26" s="95">
        <f>Decades!P26+O26</f>
        <v>399</v>
      </c>
      <c r="Q26" s="95">
        <f>Decades!Q26+P26</f>
        <v>82</v>
      </c>
      <c r="R26" s="95">
        <f>Decades!R26+Q26</f>
        <v>266</v>
      </c>
      <c r="S26" s="95">
        <f>Decades!S26</f>
        <v>266</v>
      </c>
      <c r="U26" s="95">
        <f>Decades!U26</f>
        <v>8</v>
      </c>
      <c r="V26" s="95" t="str">
        <f>Decades!V26</f>
        <v>Kuerten</v>
      </c>
      <c r="W26" s="95">
        <f>Decades!W26</f>
        <v>297</v>
      </c>
      <c r="X26" s="95">
        <f>Decades!X26+W26</f>
        <v>852</v>
      </c>
      <c r="Y26" s="95">
        <f>Decades!Y26+X26</f>
        <v>1048</v>
      </c>
      <c r="Z26" s="95">
        <f>Decades!Z26+Y26</f>
        <v>854</v>
      </c>
      <c r="AA26" s="95">
        <f>Decades!AA26+Z26</f>
        <v>992</v>
      </c>
      <c r="AB26" s="95">
        <f>Decades!AB26+AA26</f>
        <v>909</v>
      </c>
      <c r="AC26" s="95">
        <f>Decades!AC26+AB26</f>
        <v>909</v>
      </c>
      <c r="AD26" s="95">
        <f>Decades!AD26+AC26</f>
        <v>909</v>
      </c>
      <c r="AE26" s="95">
        <f>Decades!AE26+AD26</f>
        <v>891</v>
      </c>
      <c r="AF26" s="95">
        <f>Decades!AF26+AE26</f>
        <v>891</v>
      </c>
      <c r="AG26" s="95">
        <f>Decades!AG26</f>
        <v>891</v>
      </c>
    </row>
    <row r="27" spans="7:33" x14ac:dyDescent="0.2">
      <c r="G27" s="95">
        <f>Decades!G27</f>
        <v>10</v>
      </c>
      <c r="H27" s="95" t="str">
        <f>Decades!H27</f>
        <v>Wilander</v>
      </c>
      <c r="I27" s="95">
        <f>Decades!I27</f>
        <v>185</v>
      </c>
      <c r="J27" s="95">
        <f>Decades!J27+I27</f>
        <v>145</v>
      </c>
      <c r="K27" s="95">
        <f>Decades!K27+J27</f>
        <v>145</v>
      </c>
      <c r="L27" s="95">
        <f>Decades!L27+K27</f>
        <v>223</v>
      </c>
      <c r="M27" s="95">
        <f>Decades!M27+L27</f>
        <v>82</v>
      </c>
      <c r="N27" s="95">
        <f>Decades!N27+M27</f>
        <v>44</v>
      </c>
      <c r="O27" s="95">
        <f>Decades!O27+N27</f>
        <v>29</v>
      </c>
      <c r="P27" s="95">
        <f>Decades!P27+O27</f>
        <v>29</v>
      </c>
      <c r="Q27" s="95">
        <f>Decades!Q27+P27</f>
        <v>29</v>
      </c>
      <c r="R27" s="95">
        <f>Decades!R27+Q27</f>
        <v>29</v>
      </c>
      <c r="S27" s="95">
        <f>Decades!S27</f>
        <v>29</v>
      </c>
      <c r="U27" s="95">
        <f>Decades!U27</f>
        <v>9</v>
      </c>
      <c r="V27" s="95" t="str">
        <f>Decades!V27</f>
        <v>Courier</v>
      </c>
      <c r="W27" s="95">
        <f>Decades!W27</f>
        <v>-34</v>
      </c>
      <c r="X27" s="95">
        <f>Decades!X27+W27</f>
        <v>-34</v>
      </c>
      <c r="Y27" s="95">
        <f>Decades!Y27+X27</f>
        <v>-34</v>
      </c>
      <c r="Z27" s="95">
        <f>Decades!Z27+Y27</f>
        <v>-34</v>
      </c>
      <c r="AA27" s="95">
        <f>Decades!AA27+Z27</f>
        <v>-34</v>
      </c>
      <c r="AB27" s="95">
        <f>Decades!AB27+AA27</f>
        <v>-34</v>
      </c>
      <c r="AC27" s="95">
        <f>Decades!AC27+AB27</f>
        <v>-34</v>
      </c>
      <c r="AD27" s="95">
        <f>Decades!AD27+AC27</f>
        <v>-34</v>
      </c>
      <c r="AE27" s="95">
        <f>Decades!AE27+AD27</f>
        <v>-34</v>
      </c>
      <c r="AF27" s="95">
        <f>Decades!AF27+AE27</f>
        <v>-34</v>
      </c>
      <c r="AG27" s="95">
        <f>Decades!AG27</f>
        <v>-34</v>
      </c>
    </row>
    <row r="28" spans="7:33" x14ac:dyDescent="0.2">
      <c r="G28" s="95">
        <f>Decades!G28</f>
        <v>11</v>
      </c>
      <c r="H28" s="95" t="str">
        <f>Decades!H28</f>
        <v>Federer</v>
      </c>
      <c r="I28" s="95">
        <f>Decades!I28</f>
        <v>0</v>
      </c>
      <c r="J28" s="95">
        <f>Decades!J28+I28</f>
        <v>0</v>
      </c>
      <c r="K28" s="95">
        <f>Decades!K28+J28</f>
        <v>0</v>
      </c>
      <c r="L28" s="95">
        <f>Decades!L28+K28</f>
        <v>0</v>
      </c>
      <c r="M28" s="95">
        <f>Decades!M28+L28</f>
        <v>0</v>
      </c>
      <c r="N28" s="95">
        <f>Decades!N28+M28</f>
        <v>0</v>
      </c>
      <c r="O28" s="95">
        <f>Decades!O28+N28</f>
        <v>0</v>
      </c>
      <c r="P28" s="95">
        <f>Decades!P28+O28</f>
        <v>0</v>
      </c>
      <c r="Q28" s="95">
        <f>Decades!Q28+P28</f>
        <v>0</v>
      </c>
      <c r="R28" s="95">
        <f>Decades!R28+Q28</f>
        <v>-61</v>
      </c>
      <c r="S28" s="95">
        <f>Decades!S28</f>
        <v>-61</v>
      </c>
    </row>
    <row r="29" spans="7:33" x14ac:dyDescent="0.2">
      <c r="G29" s="95">
        <f>Decades!G29</f>
        <v>12</v>
      </c>
      <c r="H29" s="95" t="str">
        <f>Decades!H29</f>
        <v>Hewitt</v>
      </c>
      <c r="I29" s="95">
        <f>Decades!I29</f>
        <v>0</v>
      </c>
      <c r="J29" s="95">
        <f>Decades!J29+I29</f>
        <v>0</v>
      </c>
      <c r="K29" s="95">
        <f>Decades!K29+J29</f>
        <v>0</v>
      </c>
      <c r="L29" s="95">
        <f>Decades!L29+K29</f>
        <v>0</v>
      </c>
      <c r="M29" s="95">
        <f>Decades!M29+L29</f>
        <v>0</v>
      </c>
      <c r="N29" s="95">
        <f>Decades!N29+M29</f>
        <v>0</v>
      </c>
      <c r="O29" s="95">
        <f>Decades!O29+N29</f>
        <v>0</v>
      </c>
      <c r="P29" s="95">
        <f>Decades!P29+O29</f>
        <v>-64</v>
      </c>
      <c r="Q29" s="95">
        <f>Decades!Q29+P29</f>
        <v>-118</v>
      </c>
      <c r="R29" s="95">
        <f>Decades!R29+Q29</f>
        <v>-136</v>
      </c>
      <c r="S29" s="95">
        <f>Decades!S29</f>
        <v>-136</v>
      </c>
    </row>
    <row r="31" spans="7:33" x14ac:dyDescent="0.2">
      <c r="G31" s="96" t="s">
        <v>22</v>
      </c>
      <c r="H31" s="96"/>
      <c r="I31" s="199" t="s">
        <v>199</v>
      </c>
      <c r="J31" s="199"/>
      <c r="K31" s="199"/>
      <c r="L31" s="199"/>
      <c r="M31" s="199"/>
      <c r="N31" s="199"/>
      <c r="O31" s="199"/>
      <c r="P31" s="199"/>
      <c r="Q31" s="199"/>
      <c r="R31" s="199"/>
      <c r="S31" s="199"/>
    </row>
    <row r="32" spans="7:33" x14ac:dyDescent="0.2">
      <c r="G32" s="96"/>
      <c r="H32" s="96"/>
      <c r="I32" s="95">
        <v>2010</v>
      </c>
      <c r="J32" s="95">
        <v>2011</v>
      </c>
      <c r="K32" s="95">
        <v>2012</v>
      </c>
      <c r="L32" s="95">
        <v>2013</v>
      </c>
      <c r="M32" s="95">
        <v>2014</v>
      </c>
      <c r="N32" s="95">
        <v>2015</v>
      </c>
      <c r="O32" s="95">
        <v>2016</v>
      </c>
      <c r="P32" s="95">
        <v>2017</v>
      </c>
      <c r="Q32" s="95">
        <v>2018</v>
      </c>
      <c r="R32" s="95">
        <v>2019</v>
      </c>
      <c r="S32" s="95" t="s">
        <v>194</v>
      </c>
    </row>
    <row r="33" spans="7:19" x14ac:dyDescent="0.2">
      <c r="G33" s="95">
        <f>Decades!G33</f>
        <v>1</v>
      </c>
      <c r="H33" s="95" t="str">
        <f>Decades!H33</f>
        <v>Djokovic</v>
      </c>
      <c r="I33" s="95">
        <f>Decades!I33</f>
        <v>769</v>
      </c>
      <c r="J33" s="95">
        <f>Decades!J33+I33</f>
        <v>2625</v>
      </c>
      <c r="K33" s="95">
        <f>Decades!K33+J33</f>
        <v>4059</v>
      </c>
      <c r="L33" s="95">
        <f>Decades!L33+K33</f>
        <v>5664</v>
      </c>
      <c r="M33" s="95">
        <f>Decades!M33+L33</f>
        <v>7107</v>
      </c>
      <c r="N33" s="95">
        <f>Decades!N33+M33</f>
        <v>9013</v>
      </c>
      <c r="O33" s="95">
        <f>Decades!O33+N33</f>
        <v>10345</v>
      </c>
      <c r="P33" s="95">
        <f>Decades!P33+O33</f>
        <v>10617</v>
      </c>
      <c r="Q33" s="95">
        <f>Decades!Q33+P33</f>
        <v>11807</v>
      </c>
      <c r="R33" s="113">
        <f>Decades!R33+Q33</f>
        <v>12982</v>
      </c>
      <c r="S33" s="95">
        <f>Decades!S33</f>
        <v>12982</v>
      </c>
    </row>
    <row r="34" spans="7:19" x14ac:dyDescent="0.2">
      <c r="G34" s="95">
        <f>Decades!G34</f>
        <v>2</v>
      </c>
      <c r="H34" s="95" t="str">
        <f>Decades!H34</f>
        <v>Nadal</v>
      </c>
      <c r="I34" s="95">
        <f>Decades!I34</f>
        <v>1674</v>
      </c>
      <c r="J34" s="95">
        <f>Decades!J34+I34</f>
        <v>2890</v>
      </c>
      <c r="K34" s="95">
        <f>Decades!K34+J34</f>
        <v>3592</v>
      </c>
      <c r="L34" s="95">
        <f>Decades!L34+K34</f>
        <v>4509</v>
      </c>
      <c r="M34" s="95">
        <f>Decades!M34+L34</f>
        <v>5373</v>
      </c>
      <c r="N34" s="95">
        <f>Decades!N34+M34</f>
        <v>5630</v>
      </c>
      <c r="O34" s="95">
        <f>Decades!O34+N34</f>
        <v>5574</v>
      </c>
      <c r="P34" s="95">
        <f>Decades!P34+O34</f>
        <v>7014</v>
      </c>
      <c r="Q34" s="95">
        <f>Decades!Q34+P34</f>
        <v>8109</v>
      </c>
      <c r="R34" s="113">
        <f>Decades!R34+Q34</f>
        <v>9471</v>
      </c>
      <c r="S34" s="95">
        <f>Decades!S34</f>
        <v>9471</v>
      </c>
    </row>
    <row r="35" spans="7:19" x14ac:dyDescent="0.2">
      <c r="G35" s="95">
        <f>Decades!G35</f>
        <v>3</v>
      </c>
      <c r="H35" s="95" t="str">
        <f>Decades!H35</f>
        <v>Federer</v>
      </c>
      <c r="I35" s="95">
        <f>Decades!I35</f>
        <v>1083</v>
      </c>
      <c r="J35" s="95">
        <f>Decades!J35+I35</f>
        <v>2357</v>
      </c>
      <c r="K35" s="95">
        <f>Decades!K35+J35</f>
        <v>3341</v>
      </c>
      <c r="L35" s="95">
        <f>Decades!L35+K35</f>
        <v>3931</v>
      </c>
      <c r="M35" s="95">
        <f>Decades!M35+L35</f>
        <v>4852</v>
      </c>
      <c r="N35" s="95">
        <f>Decades!N35+M35</f>
        <v>5927</v>
      </c>
      <c r="O35" s="95">
        <f>Decades!O35+N35</f>
        <v>6497</v>
      </c>
      <c r="P35" s="95">
        <f>Decades!P35+O35</f>
        <v>7640</v>
      </c>
      <c r="Q35" s="95">
        <f>Decades!Q35+P35</f>
        <v>8337</v>
      </c>
      <c r="R35" s="113">
        <f>Decades!R35+Q35</f>
        <v>8948</v>
      </c>
      <c r="S35" s="95">
        <f>Decades!S35</f>
        <v>8948</v>
      </c>
    </row>
    <row r="36" spans="7:19" x14ac:dyDescent="0.2">
      <c r="G36" s="95">
        <f>Decades!G36</f>
        <v>4</v>
      </c>
      <c r="H36" s="95" t="str">
        <f>Decades!H36</f>
        <v>Roddick</v>
      </c>
      <c r="I36" s="95">
        <f>Decades!I36</f>
        <v>194</v>
      </c>
      <c r="J36" s="95">
        <f>Decades!J36+I36</f>
        <v>339</v>
      </c>
      <c r="K36" s="95">
        <f>Decades!K36+J36</f>
        <v>296</v>
      </c>
      <c r="L36" s="95">
        <f>Decades!L36+K36</f>
        <v>296</v>
      </c>
      <c r="M36" s="95">
        <f>Decades!M36+L36</f>
        <v>296</v>
      </c>
      <c r="N36" s="95">
        <f>Decades!N36+M36</f>
        <v>296</v>
      </c>
      <c r="O36" s="95">
        <f>Decades!O36+N36</f>
        <v>296</v>
      </c>
      <c r="P36" s="95">
        <f>Decades!P36+O36</f>
        <v>296</v>
      </c>
      <c r="Q36" s="95">
        <f>Decades!Q36+P36</f>
        <v>296</v>
      </c>
      <c r="R36" s="113">
        <f>Decades!R36+Q36</f>
        <v>296</v>
      </c>
      <c r="S36" s="95">
        <f>Decades!S36</f>
        <v>296</v>
      </c>
    </row>
    <row r="37" spans="7:19" x14ac:dyDescent="0.2">
      <c r="G37" s="95">
        <f>Decades!G37</f>
        <v>5</v>
      </c>
      <c r="H37" s="95" t="str">
        <f>Decades!H37</f>
        <v>Hewitt</v>
      </c>
      <c r="I37" s="95">
        <f>Decades!I37</f>
        <v>151</v>
      </c>
      <c r="J37" s="95">
        <f>Decades!J37+I37</f>
        <v>167</v>
      </c>
      <c r="K37" s="95">
        <f>Decades!K37+J37</f>
        <v>294</v>
      </c>
      <c r="L37" s="95">
        <f>Decades!L37+K37</f>
        <v>336</v>
      </c>
      <c r="M37" s="95">
        <f>Decades!M37+L37</f>
        <v>245</v>
      </c>
      <c r="N37" s="95">
        <f>Decades!N37+M37</f>
        <v>90</v>
      </c>
      <c r="O37" s="95">
        <f>Decades!O37+N37</f>
        <v>83</v>
      </c>
      <c r="P37" s="95">
        <f>Decades!P37+O37</f>
        <v>83</v>
      </c>
      <c r="Q37" s="95">
        <f>Decades!Q37+P37</f>
        <v>83</v>
      </c>
      <c r="R37" s="113">
        <f>Decades!R37+Q37</f>
        <v>83</v>
      </c>
      <c r="S37" s="95">
        <f>Decades!S37</f>
        <v>83</v>
      </c>
    </row>
  </sheetData>
  <mergeCells count="11">
    <mergeCell ref="W1:AG1"/>
    <mergeCell ref="A1:B2"/>
    <mergeCell ref="C1:E1"/>
    <mergeCell ref="G1:H2"/>
    <mergeCell ref="I1:S1"/>
    <mergeCell ref="U1:V2"/>
    <mergeCell ref="G16:H17"/>
    <mergeCell ref="I16:S16"/>
    <mergeCell ref="U17:V18"/>
    <mergeCell ref="W17:AG17"/>
    <mergeCell ref="I31:S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X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13" sqref="X13"/>
    </sheetView>
  </sheetViews>
  <sheetFormatPr baseColWidth="10" defaultColWidth="10.83203125" defaultRowHeight="16" x14ac:dyDescent="0.2"/>
  <cols>
    <col min="1" max="1" width="8.33203125" style="9" customWidth="1"/>
    <col min="2" max="24" width="6" style="9" customWidth="1"/>
    <col min="25" max="16384" width="10.83203125" style="9"/>
  </cols>
  <sheetData>
    <row r="1" spans="1:24" x14ac:dyDescent="0.2">
      <c r="A1" s="9" t="s">
        <v>13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</row>
    <row r="2" spans="1:24" x14ac:dyDescent="0.2">
      <c r="A2" s="9" t="s">
        <v>11</v>
      </c>
      <c r="B2" s="9">
        <f>Data!D7</f>
        <v>-61</v>
      </c>
      <c r="C2" s="115">
        <f>Data!E7+B2</f>
        <v>-44</v>
      </c>
      <c r="D2" s="115">
        <f>Data!F7+C2</f>
        <v>422</v>
      </c>
      <c r="E2" s="115">
        <f>Data!G7+D2</f>
        <v>394</v>
      </c>
      <c r="F2" s="115">
        <f>Data!H7+E2</f>
        <v>888</v>
      </c>
      <c r="G2" s="115">
        <f>Data!I7+F2</f>
        <v>2185</v>
      </c>
      <c r="H2" s="115">
        <f>Data!J7+G2</f>
        <v>3601</v>
      </c>
      <c r="I2" s="115">
        <f>Data!K7+H2</f>
        <v>5278</v>
      </c>
      <c r="J2" s="115">
        <f>Data!L7+I2</f>
        <v>7128</v>
      </c>
      <c r="K2" s="115">
        <f>Data!M7+J2</f>
        <v>8470</v>
      </c>
      <c r="L2" s="115">
        <f>Data!N7+K2</f>
        <v>10329</v>
      </c>
      <c r="M2" s="115">
        <f>Data!O7+L2</f>
        <v>11412</v>
      </c>
      <c r="N2" s="115">
        <f>Data!P7+M2</f>
        <v>12686</v>
      </c>
      <c r="O2" s="115">
        <f>Data!Q7+N2</f>
        <v>13670</v>
      </c>
      <c r="P2" s="115">
        <f>Data!R7+O2</f>
        <v>14260</v>
      </c>
      <c r="Q2" s="115">
        <f>Data!S7+P2</f>
        <v>15181</v>
      </c>
      <c r="R2" s="115">
        <f>Data!T7+Q2</f>
        <v>16256</v>
      </c>
      <c r="S2" s="115">
        <f>Data!U7+R2</f>
        <v>16826</v>
      </c>
      <c r="T2" s="115">
        <f>Data!V7+S2</f>
        <v>17969</v>
      </c>
      <c r="U2" s="115">
        <f>Data!W7+T2</f>
        <v>18666</v>
      </c>
      <c r="V2" s="115">
        <f>Data!X7+U2</f>
        <v>19338</v>
      </c>
      <c r="W2" s="122">
        <f>Data!Y7+V2</f>
        <v>19527</v>
      </c>
      <c r="X2" s="122"/>
    </row>
    <row r="3" spans="1:24" x14ac:dyDescent="0.2">
      <c r="A3" s="9" t="s">
        <v>12</v>
      </c>
      <c r="B3" s="9">
        <f>Data!D12</f>
        <v>32</v>
      </c>
      <c r="C3" s="115">
        <f>Data!E12+B3</f>
        <v>30</v>
      </c>
      <c r="D3" s="115">
        <f>Data!F12+C3</f>
        <v>588</v>
      </c>
      <c r="E3" s="115">
        <f>Data!G12+D3</f>
        <v>1323</v>
      </c>
      <c r="F3" s="115">
        <f>Data!H12+E3</f>
        <v>2546</v>
      </c>
      <c r="G3" s="115">
        <f>Data!I12+F3</f>
        <v>3817</v>
      </c>
      <c r="H3" s="115">
        <f>Data!J12+G3</f>
        <v>4657</v>
      </c>
      <c r="I3" s="115">
        <f>Data!K12+H3</f>
        <v>6331</v>
      </c>
      <c r="J3" s="115">
        <f>Data!L12+I3</f>
        <v>7547</v>
      </c>
      <c r="K3" s="115">
        <f>Data!M12+J3</f>
        <v>8249</v>
      </c>
      <c r="L3" s="115">
        <f>Data!N12+K3</f>
        <v>9166</v>
      </c>
      <c r="M3" s="115">
        <f>Data!O12+L3</f>
        <v>10030</v>
      </c>
      <c r="N3" s="115">
        <f>Data!P12+M3</f>
        <v>10287</v>
      </c>
      <c r="O3" s="115">
        <f>Data!Q12+N3</f>
        <v>10231</v>
      </c>
      <c r="P3" s="115">
        <f>Data!R12+O3</f>
        <v>11671</v>
      </c>
      <c r="Q3" s="115">
        <f>Data!S12+P3</f>
        <v>12766</v>
      </c>
      <c r="R3" s="115">
        <f>Data!T12+Q3</f>
        <v>14128</v>
      </c>
      <c r="S3" s="122">
        <f>Data!U12+R3</f>
        <v>14666</v>
      </c>
      <c r="T3" s="115"/>
      <c r="U3" s="115"/>
      <c r="V3" s="115"/>
      <c r="W3" s="36"/>
      <c r="X3" s="36"/>
    </row>
    <row r="4" spans="1:24" x14ac:dyDescent="0.2">
      <c r="A4" s="9" t="s">
        <v>16</v>
      </c>
      <c r="B4" s="9">
        <f>Data!D17</f>
        <v>-69</v>
      </c>
      <c r="C4" s="115">
        <f>Data!E17+B4</f>
        <v>-106</v>
      </c>
      <c r="D4" s="115">
        <f>Data!F17+C4</f>
        <v>505</v>
      </c>
      <c r="E4" s="115">
        <f>Data!G17+D4</f>
        <v>574</v>
      </c>
      <c r="F4" s="115">
        <f>Data!H17+E4</f>
        <v>1309</v>
      </c>
      <c r="G4" s="115">
        <f>Data!I17+F4</f>
        <v>2725</v>
      </c>
      <c r="H4" s="115">
        <f>Data!J17+G4</f>
        <v>3824</v>
      </c>
      <c r="I4" s="115">
        <f>Data!K17+H4</f>
        <v>4853</v>
      </c>
      <c r="J4" s="115">
        <f>Data!L17+I4</f>
        <v>5849</v>
      </c>
      <c r="K4" s="115">
        <f>Data!M17+J4</f>
        <v>6758</v>
      </c>
      <c r="L4" s="115">
        <f>Data!N17+K4</f>
        <v>7527</v>
      </c>
      <c r="M4" s="115">
        <f>Data!O17+L4</f>
        <v>7809</v>
      </c>
      <c r="N4" s="115">
        <f>Data!P17+M4</f>
        <v>8449</v>
      </c>
      <c r="O4" s="115">
        <f>Data!Q17+N4</f>
        <v>8900</v>
      </c>
      <c r="P4" s="115">
        <f>Data!R17+O4</f>
        <v>9391</v>
      </c>
      <c r="Q4" s="115"/>
      <c r="R4" s="115"/>
      <c r="S4" s="115"/>
      <c r="T4" s="115"/>
      <c r="U4" s="115"/>
      <c r="V4" s="115"/>
      <c r="W4" s="36"/>
      <c r="X4" s="36"/>
    </row>
    <row r="5" spans="1:24" x14ac:dyDescent="0.2">
      <c r="A5" s="9" t="s">
        <v>17</v>
      </c>
      <c r="B5" s="9">
        <f>Data!D22</f>
        <v>146</v>
      </c>
      <c r="C5" s="115">
        <f>Data!E22+B5</f>
        <v>585</v>
      </c>
      <c r="D5" s="115">
        <f>Data!F22+C5</f>
        <v>1428</v>
      </c>
      <c r="E5" s="115">
        <f>Data!G22+D5</f>
        <v>2283</v>
      </c>
      <c r="F5" s="115">
        <f>Data!H22+E5</f>
        <v>2665</v>
      </c>
      <c r="G5" s="115">
        <f>Data!I22+F5</f>
        <v>3434</v>
      </c>
      <c r="H5" s="115">
        <f>Data!J22+G5</f>
        <v>5290</v>
      </c>
      <c r="I5" s="115">
        <f>Data!K22+H5</f>
        <v>6724</v>
      </c>
      <c r="J5" s="115">
        <f>Data!L22+I5</f>
        <v>8329</v>
      </c>
      <c r="K5" s="115">
        <f>Data!M22+J5</f>
        <v>9772</v>
      </c>
      <c r="L5" s="115">
        <f>Data!N22+K5</f>
        <v>11678</v>
      </c>
      <c r="M5" s="115">
        <f>Data!O22+L5</f>
        <v>13010</v>
      </c>
      <c r="N5" s="115">
        <f>Data!P22+M5</f>
        <v>13282</v>
      </c>
      <c r="O5" s="115">
        <f>Data!Q22+N5</f>
        <v>14472</v>
      </c>
      <c r="P5" s="115">
        <f>Data!R22+O5</f>
        <v>15647</v>
      </c>
      <c r="Q5" s="122">
        <f>Data!S22+P5</f>
        <v>16586</v>
      </c>
      <c r="R5" s="115"/>
      <c r="S5" s="115"/>
      <c r="T5" s="115"/>
      <c r="U5" s="115"/>
      <c r="V5" s="115"/>
      <c r="W5" s="36"/>
      <c r="X5" s="36"/>
    </row>
    <row r="6" spans="1:24" x14ac:dyDescent="0.2">
      <c r="A6" s="9" t="s">
        <v>20</v>
      </c>
      <c r="B6" s="9">
        <f>Data!D27</f>
        <v>358</v>
      </c>
      <c r="C6" s="115">
        <f>Data!E27+B6</f>
        <v>710</v>
      </c>
      <c r="D6" s="115">
        <f>Data!F27+C6</f>
        <v>1639</v>
      </c>
      <c r="E6" s="115">
        <f>Data!G27+D6</f>
        <v>2629</v>
      </c>
      <c r="F6" s="115">
        <f>Data!H27+E6</f>
        <v>3204</v>
      </c>
      <c r="G6" s="115">
        <f>Data!I27+F6</f>
        <v>4496</v>
      </c>
      <c r="H6" s="115">
        <f>Data!J27+G6</f>
        <v>5430</v>
      </c>
      <c r="I6" s="115">
        <f>Data!K27+H6</f>
        <v>6801</v>
      </c>
      <c r="J6" s="115">
        <f>Data!L27+I6</f>
        <v>7977</v>
      </c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36"/>
      <c r="X6" s="36"/>
    </row>
    <row r="7" spans="1:24" x14ac:dyDescent="0.2">
      <c r="A7" s="9" t="s">
        <v>49</v>
      </c>
      <c r="B7" s="9">
        <f>Data!D32</f>
        <v>-18</v>
      </c>
      <c r="C7" s="115">
        <f>Data!E32+B7</f>
        <v>-61</v>
      </c>
      <c r="D7" s="115">
        <f>Data!F32+C7</f>
        <v>146</v>
      </c>
      <c r="E7" s="115">
        <f>Data!G32+D7</f>
        <v>312</v>
      </c>
      <c r="F7" s="115">
        <f>Data!H32+E7</f>
        <v>1686</v>
      </c>
      <c r="G7" s="115">
        <f>Data!I32+F7</f>
        <v>2638</v>
      </c>
      <c r="H7" s="115">
        <f>Data!J32+G7</f>
        <v>3177</v>
      </c>
      <c r="I7" s="115">
        <f>Data!K32+H7</f>
        <v>3860</v>
      </c>
      <c r="J7" s="115">
        <f>Data!L32+I7</f>
        <v>4787</v>
      </c>
      <c r="K7" s="115">
        <f>Data!M32+J7</f>
        <v>5593</v>
      </c>
      <c r="L7" s="115">
        <f>Data!N32+K7</f>
        <v>6344</v>
      </c>
      <c r="M7" s="115">
        <f>Data!O32+L7</f>
        <v>6894</v>
      </c>
      <c r="N7" s="115">
        <f>Data!P32+M7</f>
        <v>7981</v>
      </c>
      <c r="O7" s="115">
        <f>Data!Q32+N7</f>
        <v>8697</v>
      </c>
      <c r="P7" s="115">
        <f>Data!R32+O7</f>
        <v>9393</v>
      </c>
      <c r="Q7" s="115">
        <f>Data!S32+P7</f>
        <v>9991</v>
      </c>
      <c r="R7" s="115">
        <f>Data!T32+Q7</f>
        <v>9894</v>
      </c>
      <c r="S7" s="115">
        <f>Data!U32+R7</f>
        <v>10347</v>
      </c>
      <c r="T7" s="115">
        <f>Data!V32+S7</f>
        <v>10314</v>
      </c>
      <c r="U7" s="115">
        <f>Data!W32+T7</f>
        <v>10488</v>
      </c>
      <c r="V7" s="115">
        <f>Data!X32+U7</f>
        <v>10488</v>
      </c>
      <c r="W7" s="36">
        <f>Data!Y32+V7</f>
        <v>10922</v>
      </c>
      <c r="X7" s="36">
        <f>Data!Z32+W7</f>
        <v>10870</v>
      </c>
    </row>
    <row r="8" spans="1:24" x14ac:dyDescent="0.2">
      <c r="A8" s="9" t="s">
        <v>57</v>
      </c>
      <c r="B8" s="9">
        <f>Data!D37</f>
        <v>-99</v>
      </c>
      <c r="C8" s="115">
        <f>Data!E37+B8</f>
        <v>32</v>
      </c>
      <c r="D8" s="115">
        <f>Data!F37+C8</f>
        <v>245</v>
      </c>
      <c r="E8" s="115">
        <f>Data!G37+D8</f>
        <v>578</v>
      </c>
      <c r="F8" s="115">
        <f>Data!H37+E8</f>
        <v>1000</v>
      </c>
      <c r="G8" s="115">
        <f>Data!I37+F8</f>
        <v>1981</v>
      </c>
      <c r="H8" s="115">
        <f>Data!J37+G8</f>
        <v>3198</v>
      </c>
      <c r="I8" s="115">
        <f>Data!K37+H8</f>
        <v>4135</v>
      </c>
      <c r="J8" s="115">
        <f>Data!L37+I8</f>
        <v>5384</v>
      </c>
      <c r="K8" s="115">
        <f>Data!M37+J8</f>
        <v>6868</v>
      </c>
      <c r="L8" s="115">
        <f>Data!N37+K8</f>
        <v>7786</v>
      </c>
      <c r="M8" s="115">
        <f>Data!O37+L8</f>
        <v>8938</v>
      </c>
      <c r="N8" s="115">
        <f>Data!P37+M8</f>
        <v>9513</v>
      </c>
      <c r="O8" s="115">
        <f>Data!Q37+N8</f>
        <v>10233</v>
      </c>
      <c r="P8" s="115">
        <f>Data!R37+O8</f>
        <v>10584</v>
      </c>
      <c r="Q8" s="115">
        <f>Data!S37+P8</f>
        <v>10301</v>
      </c>
      <c r="R8" s="115">
        <f>Data!T37+Q8</f>
        <v>10423</v>
      </c>
      <c r="S8" s="115"/>
      <c r="T8" s="115"/>
      <c r="U8" s="115"/>
      <c r="V8" s="115"/>
      <c r="W8" s="36"/>
      <c r="X8" s="36"/>
    </row>
    <row r="9" spans="1:24" x14ac:dyDescent="0.2">
      <c r="A9" s="9" t="s">
        <v>65</v>
      </c>
      <c r="B9" s="9">
        <f>Data!D42</f>
        <v>-99</v>
      </c>
      <c r="C9" s="115">
        <f>Data!E42+B9</f>
        <v>-210</v>
      </c>
      <c r="D9" s="115">
        <f>Data!F42+C9</f>
        <v>170</v>
      </c>
      <c r="E9" s="115">
        <f>Data!G42+D9</f>
        <v>292</v>
      </c>
      <c r="F9" s="115">
        <f>Data!H42+E9</f>
        <v>952</v>
      </c>
      <c r="G9" s="115">
        <f>Data!I42+F9</f>
        <v>1406</v>
      </c>
      <c r="H9" s="115">
        <f>Data!J42+G9</f>
        <v>2359</v>
      </c>
      <c r="I9" s="115">
        <f>Data!K42+H9</f>
        <v>2465</v>
      </c>
      <c r="J9" s="115">
        <f>Data!L42+I9</f>
        <v>3095</v>
      </c>
      <c r="K9" s="115">
        <f>Data!M42+J9</f>
        <v>4165</v>
      </c>
      <c r="L9" s="115">
        <f>Data!N42+K9</f>
        <v>4365</v>
      </c>
      <c r="M9" s="115">
        <f>Data!O42+L9</f>
        <v>4411</v>
      </c>
      <c r="N9" s="115">
        <f>Data!P42+M9</f>
        <v>4505</v>
      </c>
      <c r="O9" s="115">
        <f>Data!Q42+N9</f>
        <v>5464</v>
      </c>
      <c r="P9" s="115">
        <f>Data!R42+O9</f>
        <v>6108</v>
      </c>
      <c r="Q9" s="115">
        <f>Data!S42+P9</f>
        <v>7019</v>
      </c>
      <c r="R9" s="115">
        <f>Data!T42+Q9</f>
        <v>7291</v>
      </c>
      <c r="S9" s="115">
        <f>Data!U42+R9</f>
        <v>8140</v>
      </c>
      <c r="T9" s="115">
        <f>Data!V42+S9</f>
        <v>8405</v>
      </c>
      <c r="U9" s="115">
        <f>Data!W42+T9</f>
        <v>8814</v>
      </c>
      <c r="V9" s="115">
        <f>Data!X42+U9</f>
        <v>8891</v>
      </c>
      <c r="W9" s="36"/>
      <c r="X9" s="36"/>
    </row>
    <row r="10" spans="1:24" x14ac:dyDescent="0.2">
      <c r="A10" s="9" t="s">
        <v>70</v>
      </c>
      <c r="B10" s="9">
        <f>Data!D47</f>
        <v>369</v>
      </c>
      <c r="C10" s="115">
        <f>Data!E47+B10</f>
        <v>528</v>
      </c>
      <c r="D10" s="115">
        <f>Data!F47+C10</f>
        <v>1139</v>
      </c>
      <c r="E10" s="115">
        <f>Data!G47+D10</f>
        <v>1854</v>
      </c>
      <c r="F10" s="115">
        <f>Data!H47+E10</f>
        <v>2976</v>
      </c>
      <c r="G10" s="115">
        <f>Data!I47+F10</f>
        <v>3554</v>
      </c>
      <c r="H10" s="115">
        <f>Data!J47+G10</f>
        <v>4178</v>
      </c>
      <c r="I10" s="115">
        <f>Data!K47+H10</f>
        <v>5481</v>
      </c>
      <c r="J10" s="115">
        <f>Data!L47+I10</f>
        <v>6089</v>
      </c>
      <c r="K10" s="115">
        <f>Data!M47+J10</f>
        <v>6069</v>
      </c>
      <c r="L10" s="115">
        <f>Data!N47+K10</f>
        <v>6227</v>
      </c>
      <c r="M10" s="115">
        <f>Data!O47+L10</f>
        <v>6192</v>
      </c>
      <c r="N10" s="115">
        <f>Data!P47+M10</f>
        <v>6503</v>
      </c>
      <c r="O10" s="115">
        <f>Data!Q47+N10</f>
        <v>6705</v>
      </c>
      <c r="P10" s="115">
        <f>Data!R47+O10</f>
        <v>6705</v>
      </c>
      <c r="Q10" s="115">
        <f>Data!S47+P10</f>
        <v>7077</v>
      </c>
      <c r="R10" s="115"/>
      <c r="S10" s="115"/>
      <c r="T10" s="115"/>
      <c r="U10" s="115"/>
      <c r="V10" s="115"/>
    </row>
    <row r="11" spans="1:24" x14ac:dyDescent="0.2">
      <c r="A11" s="9" t="s">
        <v>82</v>
      </c>
      <c r="B11" s="9">
        <f>Data!D52</f>
        <v>-98</v>
      </c>
      <c r="C11" s="115">
        <f>Data!E52+B11</f>
        <v>636</v>
      </c>
      <c r="D11" s="115">
        <f>Data!F52+C11</f>
        <v>1680</v>
      </c>
      <c r="E11" s="115">
        <f>Data!G52+D11</f>
        <v>2407</v>
      </c>
      <c r="F11" s="115">
        <f>Data!H52+E11</f>
        <v>3373</v>
      </c>
      <c r="G11" s="115">
        <f>Data!I52+F11</f>
        <v>3420</v>
      </c>
      <c r="H11" s="115">
        <f>Data!J52+G11</f>
        <v>4270</v>
      </c>
      <c r="I11" s="115">
        <f>Data!K52+H11</f>
        <v>5780</v>
      </c>
      <c r="J11" s="115">
        <f>Data!L52+I11</f>
        <v>5890</v>
      </c>
      <c r="K11" s="115">
        <f>Data!M52+J11</f>
        <v>6075</v>
      </c>
      <c r="L11" s="115">
        <f>Data!N52+K11</f>
        <v>6035</v>
      </c>
      <c r="M11" s="115">
        <f>Data!O52+L11</f>
        <v>6035</v>
      </c>
      <c r="N11" s="115">
        <f>Data!P52+M11</f>
        <v>6113</v>
      </c>
      <c r="O11" s="115">
        <f>Data!Q52+N11</f>
        <v>5972</v>
      </c>
      <c r="P11" s="115">
        <f>Data!R52+O11</f>
        <v>5934</v>
      </c>
      <c r="Q11" s="115">
        <f>Data!S52+P11</f>
        <v>5919</v>
      </c>
      <c r="R11" s="115"/>
      <c r="S11" s="115"/>
      <c r="T11" s="115"/>
      <c r="U11" s="115"/>
      <c r="V11" s="115"/>
    </row>
    <row r="12" spans="1:24" x14ac:dyDescent="0.2">
      <c r="A12" s="9" t="s">
        <v>87</v>
      </c>
      <c r="B12" s="9">
        <f>Data!D57</f>
        <v>-143</v>
      </c>
      <c r="C12" s="115">
        <f>Data!E57+B12</f>
        <v>-17</v>
      </c>
      <c r="D12" s="115">
        <f>Data!F57+C12</f>
        <v>775</v>
      </c>
      <c r="E12" s="115">
        <f>Data!G57+D12</f>
        <v>1026</v>
      </c>
      <c r="F12" s="115">
        <f>Data!H57+E12</f>
        <v>1790</v>
      </c>
      <c r="G12" s="115">
        <f>Data!I57+F12</f>
        <v>2358</v>
      </c>
      <c r="H12" s="115">
        <f>Data!J57+G12</f>
        <v>3122</v>
      </c>
      <c r="I12" s="115">
        <f>Data!K57+H12</f>
        <v>3745</v>
      </c>
      <c r="J12" s="115">
        <f>Data!L57+I12</f>
        <v>4666</v>
      </c>
      <c r="K12" s="115">
        <f>Data!M57+J12</f>
        <v>5484</v>
      </c>
      <c r="L12" s="115">
        <f>Data!N57+K12</f>
        <v>6085</v>
      </c>
      <c r="M12" s="115">
        <f>Data!O57+L12</f>
        <v>6145</v>
      </c>
      <c r="N12" s="115">
        <f>Data!P57+M12</f>
        <v>6147</v>
      </c>
      <c r="O12" s="115">
        <f>Data!Q57+N12</f>
        <v>6568</v>
      </c>
      <c r="P12" s="115"/>
      <c r="Q12" s="115"/>
      <c r="R12" s="115"/>
      <c r="S12" s="115"/>
      <c r="T12" s="115"/>
      <c r="U12" s="115"/>
      <c r="V12" s="115"/>
    </row>
    <row r="13" spans="1:24" x14ac:dyDescent="0.2">
      <c r="A13" s="9" t="s">
        <v>90</v>
      </c>
      <c r="B13" s="9">
        <f>Data!D62</f>
        <v>203</v>
      </c>
      <c r="C13" s="115">
        <f>Data!E62+B13</f>
        <v>700</v>
      </c>
      <c r="D13" s="115">
        <f>Data!F62+C13</f>
        <v>1485</v>
      </c>
      <c r="E13" s="115">
        <f>Data!G62+D13</f>
        <v>1778</v>
      </c>
      <c r="F13" s="115">
        <f>Data!H62+E13</f>
        <v>2243</v>
      </c>
      <c r="G13" s="115">
        <f>Data!I62+F13</f>
        <v>3369</v>
      </c>
      <c r="H13" s="115">
        <f>Data!J62+G13</f>
        <v>4108</v>
      </c>
      <c r="I13" s="115">
        <f>Data!K62+H13</f>
        <v>5164</v>
      </c>
      <c r="J13" s="115">
        <f>Data!L62+I13</f>
        <v>5431</v>
      </c>
      <c r="K13" s="115">
        <f>Data!M62+J13</f>
        <v>5620</v>
      </c>
      <c r="L13" s="115">
        <f>Data!N62+K13</f>
        <v>5701</v>
      </c>
      <c r="M13" s="115">
        <f>Data!O62+L13</f>
        <v>6009</v>
      </c>
      <c r="N13" s="115">
        <f>Data!P62+M13</f>
        <v>6446</v>
      </c>
      <c r="O13" s="115">
        <f>Data!Q62+N13</f>
        <v>6591</v>
      </c>
      <c r="P13" s="115">
        <f>Data!R62+O13</f>
        <v>6591</v>
      </c>
      <c r="Q13" s="115">
        <f>Data!S62+P13</f>
        <v>6740</v>
      </c>
      <c r="R13" s="115"/>
      <c r="S13" s="115"/>
      <c r="T13" s="115"/>
      <c r="U13" s="115"/>
      <c r="V13" s="115"/>
    </row>
    <row r="14" spans="1:24" x14ac:dyDescent="0.2">
      <c r="A14" s="9" t="s">
        <v>103</v>
      </c>
      <c r="B14" s="194" t="s">
        <v>104</v>
      </c>
      <c r="C14" s="194"/>
      <c r="D14" s="194"/>
      <c r="E14" s="194"/>
      <c r="F14" s="194"/>
      <c r="G14" s="194"/>
      <c r="H14" s="194"/>
      <c r="I14" s="194"/>
      <c r="J14" s="194"/>
    </row>
    <row r="15" spans="1:24" x14ac:dyDescent="0.2">
      <c r="A15" s="189" t="s">
        <v>95</v>
      </c>
      <c r="B15" s="194" t="s">
        <v>96</v>
      </c>
      <c r="C15" s="194"/>
      <c r="D15" s="53" t="s">
        <v>97</v>
      </c>
      <c r="E15" s="53" t="s">
        <v>63</v>
      </c>
    </row>
    <row r="16" spans="1:24" x14ac:dyDescent="0.2">
      <c r="A16" s="189"/>
      <c r="B16" s="194" t="s">
        <v>70</v>
      </c>
      <c r="C16" s="194"/>
      <c r="D16" s="53">
        <v>1</v>
      </c>
      <c r="E16" s="53">
        <f ca="1">SUMIF($B$16:C16, B16,$D$16:D16)</f>
        <v>1</v>
      </c>
    </row>
    <row r="17" spans="1:5" x14ac:dyDescent="0.2">
      <c r="A17" s="189"/>
      <c r="B17" s="194" t="s">
        <v>20</v>
      </c>
      <c r="C17" s="194"/>
      <c r="D17" s="53">
        <v>1</v>
      </c>
      <c r="E17" s="53">
        <f ca="1">SUMIF($B$16:C17, B17,$D$16:D17)</f>
        <v>1</v>
      </c>
    </row>
    <row r="18" spans="1:5" x14ac:dyDescent="0.2">
      <c r="A18" s="189"/>
      <c r="B18" s="194" t="s">
        <v>82</v>
      </c>
      <c r="C18" s="194"/>
      <c r="D18" s="53">
        <v>1</v>
      </c>
      <c r="E18" s="53">
        <f ca="1">SUMIF($B$16:C18, B18,$D$16:D18)</f>
        <v>1</v>
      </c>
    </row>
    <row r="19" spans="1:5" x14ac:dyDescent="0.2">
      <c r="A19" s="189"/>
      <c r="B19" s="194" t="s">
        <v>20</v>
      </c>
      <c r="C19" s="194"/>
      <c r="D19" s="53">
        <v>1</v>
      </c>
      <c r="E19" s="53">
        <f ca="1">SUMIF($B$16:C19, B19,$D$16:D19)</f>
        <v>2</v>
      </c>
    </row>
    <row r="20" spans="1:5" x14ac:dyDescent="0.2">
      <c r="A20" s="189"/>
      <c r="B20" s="194" t="s">
        <v>82</v>
      </c>
      <c r="C20" s="194"/>
      <c r="D20" s="53">
        <v>1</v>
      </c>
      <c r="E20" s="53">
        <f ca="1">SUMIF($B$16:C20, B20,$D$16:D20)</f>
        <v>2</v>
      </c>
    </row>
    <row r="21" spans="1:5" x14ac:dyDescent="0.2">
      <c r="A21" s="189"/>
      <c r="B21" s="194" t="s">
        <v>20</v>
      </c>
      <c r="C21" s="194"/>
      <c r="D21" s="53">
        <v>3</v>
      </c>
      <c r="E21" s="53">
        <f ca="1">SUMIF($B$16:C21, B21,$D$16:D21)</f>
        <v>5</v>
      </c>
    </row>
    <row r="22" spans="1:5" x14ac:dyDescent="0.2">
      <c r="A22" s="189"/>
      <c r="B22" s="194" t="s">
        <v>17</v>
      </c>
      <c r="C22" s="194"/>
      <c r="D22" s="53">
        <v>7</v>
      </c>
      <c r="E22" s="53">
        <f ca="1">SUMIF($B$16:C22, B22,$D$16:D22)</f>
        <v>7</v>
      </c>
    </row>
    <row r="23" spans="1:5" x14ac:dyDescent="0.2">
      <c r="A23" s="189"/>
      <c r="B23" s="194" t="s">
        <v>11</v>
      </c>
      <c r="C23" s="194"/>
      <c r="D23" s="53">
        <v>6</v>
      </c>
      <c r="E23" s="53">
        <f ca="1">SUMIF($B$16:C23, B23,$D$16:D23)</f>
        <v>6</v>
      </c>
    </row>
    <row r="24" spans="1:5" x14ac:dyDescent="0.2">
      <c r="A24" s="189"/>
      <c r="B24" s="194" t="s">
        <v>49</v>
      </c>
      <c r="C24" s="194"/>
      <c r="D24" s="53">
        <v>2</v>
      </c>
      <c r="E24" s="53">
        <f ca="1">SUMIF($B$16:C24, B24,$D$16:D24)</f>
        <v>2</v>
      </c>
    </row>
  </sheetData>
  <mergeCells count="12">
    <mergeCell ref="B14:J14"/>
    <mergeCell ref="B24:C24"/>
    <mergeCell ref="A15:A2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</mergeCells>
  <conditionalFormatting sqref="B2:B3">
    <cfRule type="colorScale" priority="1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">
    <cfRule type="colorScale" priority="1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">
    <cfRule type="colorScale" priority="1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7">
    <cfRule type="colorScale" priority="1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">
    <cfRule type="colorScale" priority="1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9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9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4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5">
    <cfRule type="colorScale" priority="1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6">
    <cfRule type="colorScale" priority="1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7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8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9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9">
    <cfRule type="colorScale" priority="1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">
    <cfRule type="colorScale" priority="1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4">
    <cfRule type="colorScale" priority="1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5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6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7">
    <cfRule type="colorScale" priority="1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8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9">
    <cfRule type="colorScale" priority="1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9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1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3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7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8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9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2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3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6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8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9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8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9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2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8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8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2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7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8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9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6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7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8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2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6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7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8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9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6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7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8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9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1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2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8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1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3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6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7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8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9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1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2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7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8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9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7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1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2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 Q6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 Q6:Q7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 Q6:Q8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4 Q6:Q9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 Q6:Q9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 Q6:Q1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 Q6:Q11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 Q6:Q12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 Q6:Q1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6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7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8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9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1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 S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5 S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6 S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7 S2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8 S2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9 S2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10 S2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11 S2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12 S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13 S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9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1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6"/>
  <dimension ref="A1:CB34"/>
  <sheetViews>
    <sheetView workbookViewId="0">
      <pane xSplit="1" ySplit="1" topLeftCell="BA2" activePane="bottomRight" state="frozen"/>
      <selection pane="topRight" activeCell="B1" sqref="B1"/>
      <selection pane="bottomLeft" activeCell="A2" sqref="A2"/>
      <selection pane="bottomRight" activeCell="BK5" sqref="BK5"/>
    </sheetView>
  </sheetViews>
  <sheetFormatPr baseColWidth="10" defaultColWidth="10.83203125" defaultRowHeight="16" x14ac:dyDescent="0.2"/>
  <cols>
    <col min="1" max="1" width="10.83203125" style="9"/>
    <col min="2" max="73" width="6" style="9" customWidth="1"/>
    <col min="74" max="75" width="6" style="115" customWidth="1"/>
    <col min="76" max="76" width="6" style="9" customWidth="1"/>
    <col min="77" max="77" width="6" style="111" customWidth="1"/>
    <col min="78" max="80" width="6" style="122" customWidth="1"/>
    <col min="81" max="16384" width="10.83203125" style="9"/>
  </cols>
  <sheetData>
    <row r="1" spans="1:80" x14ac:dyDescent="0.2">
      <c r="A1" s="9" t="s">
        <v>14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  <c r="Y1" s="9">
        <v>24</v>
      </c>
      <c r="Z1" s="9">
        <v>25</v>
      </c>
      <c r="AA1" s="9">
        <v>26</v>
      </c>
      <c r="AB1" s="9">
        <v>27</v>
      </c>
      <c r="AC1" s="9">
        <v>28</v>
      </c>
      <c r="AD1" s="9">
        <v>29</v>
      </c>
      <c r="AE1" s="9">
        <v>30</v>
      </c>
      <c r="AF1" s="9">
        <v>31</v>
      </c>
      <c r="AG1" s="9">
        <v>32</v>
      </c>
      <c r="AH1" s="9">
        <v>33</v>
      </c>
      <c r="AI1" s="9">
        <v>34</v>
      </c>
      <c r="AJ1" s="9">
        <v>35</v>
      </c>
      <c r="AK1" s="9">
        <v>36</v>
      </c>
      <c r="AL1" s="9">
        <v>37</v>
      </c>
      <c r="AM1" s="9">
        <v>38</v>
      </c>
      <c r="AN1" s="9">
        <v>39</v>
      </c>
      <c r="AO1" s="9">
        <v>40</v>
      </c>
      <c r="AP1" s="9">
        <v>41</v>
      </c>
      <c r="AQ1" s="9">
        <v>42</v>
      </c>
      <c r="AR1" s="9">
        <v>43</v>
      </c>
      <c r="AS1" s="9">
        <v>44</v>
      </c>
      <c r="AT1" s="9">
        <v>45</v>
      </c>
      <c r="AU1" s="9">
        <v>46</v>
      </c>
      <c r="AV1" s="9">
        <v>47</v>
      </c>
      <c r="AW1" s="9">
        <v>48</v>
      </c>
      <c r="AX1" s="9">
        <v>49</v>
      </c>
      <c r="AY1" s="9">
        <v>50</v>
      </c>
      <c r="AZ1" s="9">
        <v>51</v>
      </c>
      <c r="BA1" s="9">
        <v>52</v>
      </c>
      <c r="BB1" s="9">
        <v>53</v>
      </c>
      <c r="BC1" s="9">
        <v>54</v>
      </c>
      <c r="BD1" s="9">
        <v>55</v>
      </c>
      <c r="BE1" s="9">
        <v>56</v>
      </c>
      <c r="BF1" s="9">
        <v>57</v>
      </c>
      <c r="BG1" s="9">
        <v>58</v>
      </c>
      <c r="BH1" s="9">
        <v>59</v>
      </c>
      <c r="BI1" s="9">
        <v>60</v>
      </c>
      <c r="BJ1" s="9">
        <v>61</v>
      </c>
      <c r="BK1" s="9">
        <v>62</v>
      </c>
      <c r="BL1" s="9">
        <v>63</v>
      </c>
      <c r="BM1" s="9">
        <v>64</v>
      </c>
      <c r="BN1" s="9">
        <v>65</v>
      </c>
      <c r="BO1" s="9">
        <v>66</v>
      </c>
      <c r="BP1" s="9">
        <v>67</v>
      </c>
      <c r="BQ1" s="9">
        <v>68</v>
      </c>
      <c r="BR1" s="9">
        <v>69</v>
      </c>
      <c r="BS1" s="9">
        <v>70</v>
      </c>
      <c r="BT1" s="9">
        <v>71</v>
      </c>
      <c r="BU1" s="9">
        <v>72</v>
      </c>
      <c r="BV1" s="115">
        <v>73</v>
      </c>
      <c r="BW1" s="115">
        <v>74</v>
      </c>
      <c r="BX1" s="9">
        <v>75</v>
      </c>
      <c r="BY1" s="111">
        <v>76</v>
      </c>
      <c r="BZ1" s="122">
        <v>77</v>
      </c>
      <c r="CA1" s="122">
        <v>78</v>
      </c>
      <c r="CB1" s="122">
        <v>79</v>
      </c>
    </row>
    <row r="2" spans="1:80" x14ac:dyDescent="0.2">
      <c r="A2" s="9" t="s">
        <v>11</v>
      </c>
      <c r="B2" s="9">
        <f>Data!D4</f>
        <v>-3</v>
      </c>
      <c r="C2" s="115">
        <f>Data!D5+B2</f>
        <v>-61</v>
      </c>
      <c r="D2" s="115">
        <f>Data!$E$3+C2</f>
        <v>-52</v>
      </c>
      <c r="E2" s="115">
        <f>Data!$E$4+D2</f>
        <v>-29</v>
      </c>
      <c r="F2" s="115">
        <f>Data!$E$5+E2</f>
        <v>-34</v>
      </c>
      <c r="G2" s="115">
        <f>Data!$E$6+F2</f>
        <v>-44</v>
      </c>
      <c r="H2" s="52">
        <f>Data!$F$3+G2</f>
        <v>34</v>
      </c>
      <c r="I2" s="52">
        <f>Data!$F$4+H2</f>
        <v>85</v>
      </c>
      <c r="J2" s="52">
        <f>Data!$F$5+I2</f>
        <v>319</v>
      </c>
      <c r="K2" s="52">
        <f>Data!$F$6+J2</f>
        <v>422</v>
      </c>
      <c r="L2" s="52">
        <f>Data!$G$3+K2</f>
        <v>487</v>
      </c>
      <c r="M2" s="52">
        <f>Data!$G$4+L2</f>
        <v>442</v>
      </c>
      <c r="N2" s="52">
        <f>Data!$G$5+M2</f>
        <v>343</v>
      </c>
      <c r="O2" s="52">
        <f>Data!$G$6+N2</f>
        <v>394</v>
      </c>
      <c r="P2" s="52">
        <f>Data!$H$3+O2</f>
        <v>426</v>
      </c>
      <c r="Q2" s="52">
        <f>Data!$H$4+P2</f>
        <v>338</v>
      </c>
      <c r="R2" s="52">
        <f>Data!$H$5+Q2</f>
        <v>805</v>
      </c>
      <c r="S2" s="52">
        <f>Data!$H$6+R2</f>
        <v>888</v>
      </c>
      <c r="T2" s="52">
        <f>Data!$I$3+S2</f>
        <v>1229</v>
      </c>
      <c r="U2" s="52">
        <f>Data!$I$4+T2</f>
        <v>1268</v>
      </c>
      <c r="V2" s="52">
        <f>Data!$I$5+U2</f>
        <v>1640</v>
      </c>
      <c r="W2" s="52">
        <f>Data!$I$6+V2</f>
        <v>2185</v>
      </c>
      <c r="X2" s="52">
        <f>Data!$J$3+W2</f>
        <v>2359</v>
      </c>
      <c r="Y2" s="52">
        <f>Data!$J$4+X2</f>
        <v>2571</v>
      </c>
      <c r="Z2" s="52">
        <f>Data!$J$5+Y2</f>
        <v>3090</v>
      </c>
      <c r="AA2" s="52">
        <f>Data!$J$6+Z2</f>
        <v>3601</v>
      </c>
      <c r="AB2" s="52">
        <f>Data!$K$3+AA2</f>
        <v>4032</v>
      </c>
      <c r="AC2" s="52">
        <f>Data!$K$4+AB2</f>
        <v>4395</v>
      </c>
      <c r="AD2" s="52">
        <f>Data!$K$5+AC2</f>
        <v>4873</v>
      </c>
      <c r="AE2" s="52">
        <f>Data!$K$6+AD2</f>
        <v>5278</v>
      </c>
      <c r="AF2" s="52">
        <f>Data!$L$3+AE2</f>
        <v>5834</v>
      </c>
      <c r="AG2" s="52">
        <f>Data!$L$4+AF2</f>
        <v>6212</v>
      </c>
      <c r="AH2" s="52">
        <f>Data!$L$5+AG2</f>
        <v>6747</v>
      </c>
      <c r="AI2" s="52">
        <f>Data!$L$6+AH2</f>
        <v>7128</v>
      </c>
      <c r="AJ2" s="52">
        <f>Data!$M$3+AI2</f>
        <v>7436</v>
      </c>
      <c r="AK2" s="52">
        <f>Data!$M$4+AJ2</f>
        <v>7780</v>
      </c>
      <c r="AL2" s="52">
        <f>Data!$M$5+AK2</f>
        <v>8077</v>
      </c>
      <c r="AM2" s="52">
        <f>Data!$M$6+AL2</f>
        <v>8470</v>
      </c>
      <c r="AN2" s="115">
        <f>Data!$N$3+AM2</f>
        <v>8904</v>
      </c>
      <c r="AO2" s="115">
        <f>Data!$N$4+AN2</f>
        <v>9377</v>
      </c>
      <c r="AP2" s="115">
        <f>Data!$N$5+AO2</f>
        <v>9928</v>
      </c>
      <c r="AQ2" s="115">
        <f>Data!$N$6+AP2</f>
        <v>10329</v>
      </c>
      <c r="AR2" s="115">
        <f>Data!$O$3+AQ2</f>
        <v>10921</v>
      </c>
      <c r="AS2" s="115">
        <f>Data!$O$4+AR2</f>
        <v>11070</v>
      </c>
      <c r="AT2" s="115">
        <f>Data!$O$5+AS2</f>
        <v>11207</v>
      </c>
      <c r="AU2" s="115">
        <f>Data!$O$6+AT2</f>
        <v>11412</v>
      </c>
      <c r="AV2" s="115">
        <f>Data!$P$3+AU2</f>
        <v>11718</v>
      </c>
      <c r="AW2" s="115">
        <f>Data!$P$4+AV2</f>
        <v>12152</v>
      </c>
      <c r="AX2" s="115">
        <f>Data!$P$5+AW2</f>
        <v>12388</v>
      </c>
      <c r="AY2" s="115">
        <f>Data!$P$6+AX2</f>
        <v>12686</v>
      </c>
      <c r="AZ2" s="115">
        <f>Data!$Q$3+AY2</f>
        <v>12899</v>
      </c>
      <c r="BA2" s="115">
        <f>Data!$Q$4+AZ2</f>
        <v>13051</v>
      </c>
      <c r="BB2" s="115">
        <f>Data!$Q$5+BA2</f>
        <v>13555</v>
      </c>
      <c r="BC2" s="115">
        <f>Data!$Q$6+BB2</f>
        <v>13670</v>
      </c>
      <c r="BD2" s="115">
        <f>Data!$R$3+BC2</f>
        <v>14038</v>
      </c>
      <c r="BE2" s="115">
        <f>Data!$R$4+BD2</f>
        <v>14199</v>
      </c>
      <c r="BF2" s="115">
        <f>Data!$R$5+BE2</f>
        <v>14152</v>
      </c>
      <c r="BG2" s="115">
        <f>Data!$R$6+BF2</f>
        <v>14260</v>
      </c>
      <c r="BH2" s="52">
        <f>Data!$S$3+BG2</f>
        <v>14488</v>
      </c>
      <c r="BI2" s="52">
        <f>Data!$S$4+BH2</f>
        <v>14553</v>
      </c>
      <c r="BJ2" s="52">
        <f>Data!$S$5+BI2</f>
        <v>14929</v>
      </c>
      <c r="BK2" s="52">
        <f>Data!$S$6+BJ2</f>
        <v>15181</v>
      </c>
      <c r="BL2" s="52">
        <f>Data!$T$3+BK2</f>
        <v>15240</v>
      </c>
      <c r="BM2" s="52">
        <f>Data!$T$4+BL2</f>
        <v>15385</v>
      </c>
      <c r="BN2" s="9">
        <f>Data!$T$5+BM2</f>
        <v>15786</v>
      </c>
      <c r="BO2" s="9">
        <f>Data!$T$6+BN2</f>
        <v>16256</v>
      </c>
      <c r="BP2" s="9">
        <f>Data!U3+BO2</f>
        <v>16593</v>
      </c>
      <c r="BQ2" s="9">
        <f>Data!U5+BP2</f>
        <v>16826</v>
      </c>
      <c r="BR2" s="9">
        <f>Data!V3+BQ2</f>
        <v>17300</v>
      </c>
      <c r="BS2" s="9">
        <f>Data!V5+BR2</f>
        <v>17816</v>
      </c>
      <c r="BT2" s="9">
        <f>Data!V6+BS2</f>
        <v>17969</v>
      </c>
      <c r="BU2" s="9">
        <f>Data!W3+BT2</f>
        <v>18421</v>
      </c>
      <c r="BV2" s="115">
        <f>Data!W5+BU2</f>
        <v>18606</v>
      </c>
      <c r="BW2" s="115">
        <f>Data!W6+BV2</f>
        <v>18666</v>
      </c>
      <c r="BX2" s="9">
        <f>Data!X3+BW2</f>
        <v>18704</v>
      </c>
      <c r="BY2" s="111">
        <f>Data!X4+BX2</f>
        <v>18890</v>
      </c>
      <c r="BZ2" s="122">
        <f>Data!X5+BY2</f>
        <v>19277</v>
      </c>
      <c r="CA2" s="122">
        <f>Data!X6+BZ2</f>
        <v>19338</v>
      </c>
      <c r="CB2" s="122">
        <f>Data!Y3+CA2</f>
        <v>19527</v>
      </c>
    </row>
    <row r="3" spans="1:80" x14ac:dyDescent="0.2">
      <c r="A3" s="9" t="s">
        <v>12</v>
      </c>
      <c r="B3" s="9">
        <f>Data!D10</f>
        <v>15</v>
      </c>
      <c r="C3" s="115">
        <f>Data!D11+B3</f>
        <v>32</v>
      </c>
      <c r="D3" s="115">
        <f>Data!E8+C3</f>
        <v>31</v>
      </c>
      <c r="E3" s="115">
        <f>Data!E11+D3</f>
        <v>30</v>
      </c>
      <c r="F3" s="115">
        <f>Data!$F$8+E3</f>
        <v>148</v>
      </c>
      <c r="G3" s="115">
        <f>Data!$F$9+F3</f>
        <v>645</v>
      </c>
      <c r="H3" s="52">
        <f>Data!$F$10+G3</f>
        <v>637</v>
      </c>
      <c r="I3" s="52">
        <f>Data!$F$11+H3</f>
        <v>588</v>
      </c>
      <c r="J3" s="52">
        <f>Data!$G$9+I3</f>
        <v>1041</v>
      </c>
      <c r="K3" s="52">
        <f>Data!$G$10+J3</f>
        <v>1308</v>
      </c>
      <c r="L3" s="52">
        <f>Data!$G$11+K3</f>
        <v>1323</v>
      </c>
      <c r="M3" s="52">
        <f>Data!$H$8+L3</f>
        <v>1526</v>
      </c>
      <c r="N3" s="52">
        <f>Data!$H$9+M3</f>
        <v>2024</v>
      </c>
      <c r="O3" s="52">
        <f>Data!$H$10+N3</f>
        <v>2490</v>
      </c>
      <c r="P3" s="52">
        <f>Data!$H$11+O3</f>
        <v>2546</v>
      </c>
      <c r="Q3" s="52">
        <f>Data!$I$8+P3</f>
        <v>2729</v>
      </c>
      <c r="R3" s="52">
        <f>Data!$I$9+Q3</f>
        <v>3210</v>
      </c>
      <c r="S3" s="52">
        <f>Data!$I$10+R3</f>
        <v>3662</v>
      </c>
      <c r="T3" s="52">
        <f>Data!$I$11+S3</f>
        <v>3817</v>
      </c>
      <c r="U3" s="52">
        <f>Data!$J$8+T3</f>
        <v>4286</v>
      </c>
      <c r="V3" s="52">
        <f>Data!$J$9+U3</f>
        <v>4344</v>
      </c>
      <c r="W3" s="52">
        <f>Data!$J$11+V3</f>
        <v>4657</v>
      </c>
      <c r="X3" s="52">
        <f>Data!$K$8+W3</f>
        <v>4861</v>
      </c>
      <c r="Y3" s="52">
        <f>Data!$K$9+X3</f>
        <v>5370</v>
      </c>
      <c r="Z3" s="52">
        <f>Data!$K$10+Y3</f>
        <v>5801</v>
      </c>
      <c r="AA3" s="52">
        <f>Data!$K$11+Z3</f>
        <v>6331</v>
      </c>
      <c r="AB3" s="52">
        <f>Data!$L$8+AA3</f>
        <v>6438</v>
      </c>
      <c r="AC3" s="52">
        <f>Data!$L$9+AB3</f>
        <v>6953</v>
      </c>
      <c r="AD3" s="52">
        <f>Data!$L$10+AC3</f>
        <v>7285</v>
      </c>
      <c r="AE3" s="52">
        <f>Data!$L$11+AD3</f>
        <v>7547</v>
      </c>
      <c r="AF3" s="52">
        <f>Data!$M$8+AE3</f>
        <v>7851</v>
      </c>
      <c r="AG3" s="52">
        <f>Data!$M$9+AF3</f>
        <v>8328</v>
      </c>
      <c r="AH3" s="52">
        <f>Data!$M$10+AG3</f>
        <v>8249</v>
      </c>
      <c r="AI3" s="52">
        <f>Data!$N$9+AH3</f>
        <v>8801</v>
      </c>
      <c r="AJ3" s="52">
        <f>Data!$N$10+AI3</f>
        <v>8702</v>
      </c>
      <c r="AK3" s="52">
        <f>Data!$N$11+AJ3</f>
        <v>9166</v>
      </c>
      <c r="AL3" s="52">
        <f>Data!$O$8+AK3</f>
        <v>9563</v>
      </c>
      <c r="AM3" s="52">
        <f>Data!$O$9+AL3</f>
        <v>9995</v>
      </c>
      <c r="AN3" s="115">
        <f>Data!$O$10+AM3</f>
        <v>10030</v>
      </c>
      <c r="AO3" s="115">
        <f>Data!$P$8+AN3</f>
        <v>10182</v>
      </c>
      <c r="AP3" s="115">
        <f>Data!$P$9+AO3</f>
        <v>10267</v>
      </c>
      <c r="AQ3" s="115">
        <f>Data!$P$10+AP3</f>
        <v>10226</v>
      </c>
      <c r="AR3" s="115">
        <f>Data!$P$11+AQ3</f>
        <v>10287</v>
      </c>
      <c r="AS3" s="115">
        <f>Data!$Q$8+AR3</f>
        <v>10242</v>
      </c>
      <c r="AT3" s="115">
        <f>Data!$Q$9+AS3</f>
        <v>10188</v>
      </c>
      <c r="AU3" s="115">
        <f>Data!$Q$11+AT3</f>
        <v>10231</v>
      </c>
      <c r="AV3" s="115">
        <f>Data!$R$8+AU3</f>
        <v>10711</v>
      </c>
      <c r="AW3" s="115">
        <f>Data!$R$9+AV3</f>
        <v>11261</v>
      </c>
      <c r="AX3" s="115">
        <f>Data!$R$10+AW3</f>
        <v>11373</v>
      </c>
      <c r="AY3" s="115">
        <f>Data!$R$11+AX3</f>
        <v>11671</v>
      </c>
      <c r="AZ3" s="115">
        <f>Data!$S$8+AY3</f>
        <v>11902</v>
      </c>
      <c r="BA3" s="115">
        <f>Data!$S$9+AZ3</f>
        <v>12355</v>
      </c>
      <c r="BB3" s="115">
        <f>Data!$S$10+BA3</f>
        <v>12509</v>
      </c>
      <c r="BC3" s="115">
        <f>Data!$S$11+BB3</f>
        <v>12766</v>
      </c>
      <c r="BD3" s="115">
        <f>Data!$T$8+BC3</f>
        <v>13111</v>
      </c>
      <c r="BE3" s="115">
        <f>Data!$T$9+BD3</f>
        <v>13542</v>
      </c>
      <c r="BF3" s="122">
        <f>Data!$T$10+BE3</f>
        <v>13711</v>
      </c>
      <c r="BG3" s="122">
        <f>Data!$T$11+BF3</f>
        <v>14128</v>
      </c>
      <c r="BH3" s="122">
        <f>Data!$U$8+BG3</f>
        <v>14328</v>
      </c>
      <c r="BI3" s="52"/>
      <c r="BJ3" s="52"/>
      <c r="BK3" s="52"/>
      <c r="BL3" s="52"/>
      <c r="BM3" s="52"/>
    </row>
    <row r="4" spans="1:80" x14ac:dyDescent="0.2">
      <c r="A4" s="9" t="s">
        <v>16</v>
      </c>
      <c r="B4" s="9">
        <f>Data!D16</f>
        <v>-69</v>
      </c>
      <c r="C4" s="115">
        <f>Data!$E$13+B4</f>
        <v>-150</v>
      </c>
      <c r="D4" s="115">
        <f>Data!$E$14+C4</f>
        <v>-164</v>
      </c>
      <c r="E4" s="115">
        <f>Data!$E$15+D4</f>
        <v>-263</v>
      </c>
      <c r="F4" s="115">
        <f>Data!$E$16+E4</f>
        <v>-106</v>
      </c>
      <c r="G4" s="115">
        <f>Data!$F$13+F4</f>
        <v>43</v>
      </c>
      <c r="H4" s="52">
        <f>Data!$F$15+G4</f>
        <v>2</v>
      </c>
      <c r="I4" s="52">
        <f>Data!$F$16+H4</f>
        <v>505</v>
      </c>
      <c r="J4" s="52">
        <f>Data!$G$14+I4</f>
        <v>471</v>
      </c>
      <c r="K4" s="52">
        <f>Data!$G$15+J4</f>
        <v>448</v>
      </c>
      <c r="L4" s="52">
        <f>Data!$G$16+K4</f>
        <v>574</v>
      </c>
      <c r="M4" s="52">
        <f>Data!$H$14+L4</f>
        <v>721</v>
      </c>
      <c r="N4" s="52">
        <f>Data!$H$15+M4</f>
        <v>1012</v>
      </c>
      <c r="O4" s="52">
        <f>Data!$H$16+N4</f>
        <v>1309</v>
      </c>
      <c r="P4" s="52">
        <f>Data!$I$13+O4</f>
        <v>1582</v>
      </c>
      <c r="Q4" s="52">
        <f>Data!$I$14+P4</f>
        <v>1867</v>
      </c>
      <c r="R4" s="52">
        <f>Data!$I$15+Q4</f>
        <v>2247</v>
      </c>
      <c r="S4" s="52">
        <f>Data!$I$16+R4</f>
        <v>2725</v>
      </c>
      <c r="T4" s="52">
        <f>Data!$J$13+S4</f>
        <v>3203</v>
      </c>
      <c r="U4" s="52">
        <f>Data!$J$14+T4</f>
        <v>3284</v>
      </c>
      <c r="V4" s="52">
        <f>Data!$J$15+U4</f>
        <v>3799</v>
      </c>
      <c r="W4" s="52">
        <f>Data!$J$16+V4</f>
        <v>3824</v>
      </c>
      <c r="X4" s="52">
        <f>Data!$K$13+W4</f>
        <v>4130</v>
      </c>
      <c r="Y4" s="52">
        <f>Data!$K$14+X4</f>
        <v>4106</v>
      </c>
      <c r="Z4" s="52">
        <f>Data!$K$15+Y4</f>
        <v>4419</v>
      </c>
      <c r="AA4" s="52">
        <f>Data!$K$16+Z4</f>
        <v>4853</v>
      </c>
      <c r="AB4" s="52">
        <f>Data!$L$13+AA4</f>
        <v>4825</v>
      </c>
      <c r="AC4" s="52">
        <f>Data!$L$14+AB4</f>
        <v>5158</v>
      </c>
      <c r="AD4" s="52">
        <f>Data!$L$15+AC4</f>
        <v>5382</v>
      </c>
      <c r="AE4" s="52">
        <f>Data!$L$16+AD4</f>
        <v>5849</v>
      </c>
      <c r="AF4" s="52">
        <f>Data!$M$13+AE4</f>
        <v>6308</v>
      </c>
      <c r="AG4" s="52">
        <f>Data!$M$14+AF4</f>
        <v>6355</v>
      </c>
      <c r="AH4" s="52">
        <f>Data!$M$15+AG4</f>
        <v>6752</v>
      </c>
      <c r="AI4" s="52">
        <f>Data!$M$16+AH4</f>
        <v>6758</v>
      </c>
      <c r="AJ4" s="52">
        <f>Data!$N$13+AI4</f>
        <v>6914</v>
      </c>
      <c r="AK4" s="52">
        <f>Data!$N$14+AJ4</f>
        <v>6884</v>
      </c>
      <c r="AL4" s="52">
        <f>Data!$N$15+AK4</f>
        <v>7348</v>
      </c>
      <c r="AM4" s="52">
        <f>Data!$N$16+AL4</f>
        <v>7527</v>
      </c>
      <c r="AN4" s="115">
        <f>Data!$O$14+AM4</f>
        <v>7436</v>
      </c>
      <c r="AO4" s="115">
        <f>Data!$O$15+AN4</f>
        <v>7809</v>
      </c>
      <c r="AP4" s="115">
        <f>Data!$P$13+AO4</f>
        <v>7931</v>
      </c>
      <c r="AQ4" s="115">
        <f>Data!$P$14+AP4</f>
        <v>7906</v>
      </c>
      <c r="AR4" s="115">
        <f>Data!$P$15+AQ4</f>
        <v>8185</v>
      </c>
      <c r="AS4" s="115">
        <f>Data!$P$16+AR4</f>
        <v>8449</v>
      </c>
      <c r="AT4" s="115">
        <f>Data!$Q$13+AS4</f>
        <v>8499</v>
      </c>
      <c r="AU4" s="115">
        <f>Data!$Q$14+AT4</f>
        <v>8473</v>
      </c>
      <c r="AV4" s="115">
        <f>Data!$Q$15+AU4</f>
        <v>8504</v>
      </c>
      <c r="AW4" s="115">
        <f>Data!$Q$16+AV4</f>
        <v>8900</v>
      </c>
      <c r="AX4" s="115">
        <f>Data!$R$13+AW4</f>
        <v>9046</v>
      </c>
      <c r="AY4" s="115">
        <f>Data!$R$14+AX4</f>
        <v>8977</v>
      </c>
      <c r="AZ4" s="115">
        <f>Data!$R$15+AY4</f>
        <v>8879</v>
      </c>
      <c r="BA4" s="115">
        <f>Data!$R$16+AZ4</f>
        <v>9391</v>
      </c>
      <c r="BB4" s="115"/>
      <c r="BC4" s="115"/>
      <c r="BD4" s="115"/>
      <c r="BE4" s="115"/>
      <c r="BF4" s="115"/>
      <c r="BG4" s="115"/>
      <c r="BH4" s="52"/>
      <c r="BI4" s="52"/>
      <c r="BJ4" s="52"/>
      <c r="BK4" s="52"/>
      <c r="BL4" s="52"/>
      <c r="BM4" s="52"/>
    </row>
    <row r="5" spans="1:80" x14ac:dyDescent="0.2">
      <c r="A5" s="9" t="s">
        <v>17</v>
      </c>
      <c r="B5" s="9">
        <f>Data!$D$18</f>
        <v>-4</v>
      </c>
      <c r="C5" s="115">
        <f>Data!$D$19+B5</f>
        <v>17</v>
      </c>
      <c r="D5" s="115">
        <f>Data!$D$20+C5</f>
        <v>59</v>
      </c>
      <c r="E5" s="115">
        <f>Data!$D$21+D5</f>
        <v>146</v>
      </c>
      <c r="F5" s="115">
        <f>Data!$E$18+E5</f>
        <v>78</v>
      </c>
      <c r="G5" s="115">
        <f>Data!$E$19+F5</f>
        <v>383</v>
      </c>
      <c r="H5" s="52">
        <f>Data!$E$20+G5</f>
        <v>559</v>
      </c>
      <c r="I5" s="52">
        <f>Data!$E$21+H5</f>
        <v>585</v>
      </c>
      <c r="J5" s="52">
        <f>Data!$F$18+I5</f>
        <v>663</v>
      </c>
      <c r="K5" s="52">
        <f>Data!$F$19+J5</f>
        <v>754</v>
      </c>
      <c r="L5" s="52">
        <f>Data!$F$20+K5</f>
        <v>1045</v>
      </c>
      <c r="M5" s="52">
        <f>Data!$F$21+L5</f>
        <v>1428</v>
      </c>
      <c r="N5" s="52">
        <f>Data!$G$18+M5</f>
        <v>1902</v>
      </c>
      <c r="O5" s="52">
        <f>Data!$G$19+N5</f>
        <v>2062</v>
      </c>
      <c r="P5" s="52">
        <f>Data!$G$20+O5</f>
        <v>1996</v>
      </c>
      <c r="Q5" s="52">
        <f>Data!$G$21+P5</f>
        <v>2283</v>
      </c>
      <c r="R5" s="52">
        <f>Data!$H$18+Q5</f>
        <v>2323</v>
      </c>
      <c r="S5" s="52">
        <f>Data!$H$19+R5</f>
        <v>2296</v>
      </c>
      <c r="T5" s="52">
        <f>Data!$H$20+S5</f>
        <v>2428</v>
      </c>
      <c r="U5" s="52">
        <f>Data!$H$21+T5</f>
        <v>2665</v>
      </c>
      <c r="V5" s="52">
        <f>Data!$I$18+U5</f>
        <v>2748</v>
      </c>
      <c r="W5" s="52">
        <f>Data!$I$19+V5</f>
        <v>2835</v>
      </c>
      <c r="X5" s="52">
        <f>Data!$I$20+W5</f>
        <v>3041</v>
      </c>
      <c r="Y5" s="52">
        <f>Data!$I$21+X5</f>
        <v>3434</v>
      </c>
      <c r="Z5" s="52">
        <f>Data!$J$18+Y5</f>
        <v>4005</v>
      </c>
      <c r="AA5" s="52">
        <f>Data!$J$19+Z5</f>
        <v>4304</v>
      </c>
      <c r="AB5" s="52">
        <f>Data!$J$20+AA5</f>
        <v>4799</v>
      </c>
      <c r="AC5" s="52">
        <f>Data!$J$21+AB5</f>
        <v>5290</v>
      </c>
      <c r="AD5" s="52">
        <f>Data!$K$18+AC5</f>
        <v>5694</v>
      </c>
      <c r="AE5" s="52">
        <f>Data!$K$19+AD5</f>
        <v>5997</v>
      </c>
      <c r="AF5" s="52">
        <f>Data!$K$20+AE5</f>
        <v>6325</v>
      </c>
      <c r="AG5" s="52">
        <f>Data!$K$21+AF5</f>
        <v>6724</v>
      </c>
      <c r="AH5" s="52">
        <f>Data!$L$18+AG5</f>
        <v>7294</v>
      </c>
      <c r="AI5" s="52">
        <f>Data!$L$19+AH5</f>
        <v>7616</v>
      </c>
      <c r="AJ5" s="52">
        <f>Data!$L$20+AI5</f>
        <v>8055</v>
      </c>
      <c r="AK5" s="52">
        <f>Data!$L$21+AJ5</f>
        <v>8329</v>
      </c>
      <c r="AL5" s="52">
        <f>Data!$M$18+AK5</f>
        <v>8473</v>
      </c>
      <c r="AM5" s="52">
        <f>Data!$M$19+AL5</f>
        <v>8952</v>
      </c>
      <c r="AN5" s="115">
        <f>Data!$M$20+AM5</f>
        <v>9509</v>
      </c>
      <c r="AO5" s="115">
        <f>Data!$M$21+AN5</f>
        <v>9772</v>
      </c>
      <c r="AP5" s="115">
        <f>Data!$N$18+AO5</f>
        <v>10244</v>
      </c>
      <c r="AQ5" s="115">
        <f>Data!$N$19+AP5</f>
        <v>10596</v>
      </c>
      <c r="AR5" s="115">
        <f>Data!$N$20+AQ5</f>
        <v>11148</v>
      </c>
      <c r="AS5" s="115">
        <f>Data!$N$21+AR5</f>
        <v>11678</v>
      </c>
      <c r="AT5" s="115">
        <f>Data!$O$18+AS5</f>
        <v>12223</v>
      </c>
      <c r="AU5" s="115">
        <f>Data!$O$19+AT5</f>
        <v>12677</v>
      </c>
      <c r="AV5" s="115">
        <f>Data!$O$20+AU5</f>
        <v>12695</v>
      </c>
      <c r="AW5" s="115">
        <f>Data!$O$21+AV5</f>
        <v>13010</v>
      </c>
      <c r="AX5" s="115">
        <f>Data!$P$18+AW5</f>
        <v>12971</v>
      </c>
      <c r="AY5" s="115">
        <f>Data!$P$19+AX5</f>
        <v>13179</v>
      </c>
      <c r="AZ5" s="115">
        <f>Data!$P$20+AY5</f>
        <v>13282</v>
      </c>
      <c r="BA5" s="115">
        <f>Data!$Q$18+AZ5</f>
        <v>13401</v>
      </c>
      <c r="BB5" s="115">
        <f>Data!$Q$19+BA5</f>
        <v>13498</v>
      </c>
      <c r="BC5" s="115">
        <f>Data!$Q$20+BB5</f>
        <v>13997</v>
      </c>
      <c r="BD5" s="115">
        <f>Data!$Q$21+BC5</f>
        <v>14472</v>
      </c>
      <c r="BE5" s="115">
        <f>Data!$R$18+BD5</f>
        <v>14946</v>
      </c>
      <c r="BF5" s="115">
        <f>Data!$R$19+BE5</f>
        <v>15170</v>
      </c>
      <c r="BG5" s="122">
        <f>Data!$R$20+BF5</f>
        <v>15602</v>
      </c>
      <c r="BH5" s="122">
        <f>Data!$R$21+BG5</f>
        <v>15647</v>
      </c>
      <c r="BI5" s="122">
        <f>Data!$S$18+BH5</f>
        <v>16133</v>
      </c>
      <c r="BJ5" s="122">
        <f>Data!$S$21+BI5</f>
        <v>16242</v>
      </c>
      <c r="BK5" s="52"/>
      <c r="BL5" s="52"/>
      <c r="BM5" s="52"/>
    </row>
    <row r="6" spans="1:80" x14ac:dyDescent="0.2">
      <c r="A6" s="9" t="s">
        <v>20</v>
      </c>
      <c r="B6" s="9">
        <f>Data!D24</f>
        <v>171</v>
      </c>
      <c r="C6" s="115">
        <f>Data!D25+B6</f>
        <v>262</v>
      </c>
      <c r="D6" s="115">
        <f>Data!D26+C6</f>
        <v>358</v>
      </c>
      <c r="E6" s="115">
        <f>Data!$E$23+D6</f>
        <v>390</v>
      </c>
      <c r="F6" s="115">
        <f>Data!$E$24+E6</f>
        <v>739</v>
      </c>
      <c r="G6" s="115">
        <f>Data!$E$25+F6</f>
        <v>748</v>
      </c>
      <c r="H6" s="52">
        <f>Data!$E$26+G6</f>
        <v>710</v>
      </c>
      <c r="I6" s="52">
        <f>Data!$F$24+H6</f>
        <v>1138</v>
      </c>
      <c r="J6" s="52">
        <f>Data!$F$25+I6</f>
        <v>1322</v>
      </c>
      <c r="K6" s="52">
        <f>Data!$F$26+J6</f>
        <v>1639</v>
      </c>
      <c r="L6" s="52">
        <f>Data!$G$24+K6</f>
        <v>1773</v>
      </c>
      <c r="M6" s="52">
        <f>Data!$G$25+L6</f>
        <v>2239</v>
      </c>
      <c r="N6" s="52">
        <f>Data!$G$26+M6</f>
        <v>2629</v>
      </c>
      <c r="O6" s="52">
        <f>Data!$H$25+N6</f>
        <v>3201</v>
      </c>
      <c r="P6" s="52">
        <f>Data!$H$26+O6</f>
        <v>3204</v>
      </c>
      <c r="Q6" s="52">
        <f>Data!$I$24+P6</f>
        <v>3688</v>
      </c>
      <c r="R6" s="52">
        <f>Data!$I$25+Q6</f>
        <v>4130</v>
      </c>
      <c r="S6" s="52">
        <f>Data!$I$26+R6</f>
        <v>4496</v>
      </c>
      <c r="T6" s="52">
        <f>Data!$J$24+S6</f>
        <v>4810</v>
      </c>
      <c r="U6" s="52">
        <f>Data!$J$25+T6</f>
        <v>5349</v>
      </c>
      <c r="V6" s="52">
        <f>Data!$J$26+U6</f>
        <v>5430</v>
      </c>
      <c r="W6" s="52">
        <f>Data!$K$24+V6</f>
        <v>5899</v>
      </c>
      <c r="X6" s="52">
        <f>Data!$K$25+W6</f>
        <v>6369</v>
      </c>
      <c r="Y6" s="52">
        <f>Data!$K$26+X6</f>
        <v>6801</v>
      </c>
      <c r="Z6" s="52">
        <f>Data!$L$24+Y6</f>
        <v>7152</v>
      </c>
      <c r="AA6" s="52">
        <f>Data!$L$25+Z6</f>
        <v>7671</v>
      </c>
      <c r="AB6" s="52">
        <f>Data!$L$26+AA6</f>
        <v>7977</v>
      </c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  <c r="BG6" s="115"/>
      <c r="BH6" s="52"/>
      <c r="BI6" s="52"/>
      <c r="BJ6" s="52"/>
      <c r="BK6" s="52"/>
      <c r="BL6" s="52"/>
      <c r="BM6" s="52"/>
    </row>
    <row r="7" spans="1:80" x14ac:dyDescent="0.2">
      <c r="A7" s="9" t="s">
        <v>49</v>
      </c>
      <c r="B7" s="9">
        <f>Data!D31</f>
        <v>-18</v>
      </c>
      <c r="C7" s="115">
        <f>Data!E31+B7</f>
        <v>-61</v>
      </c>
      <c r="D7" s="115">
        <f>Data!$F$29+C7</f>
        <v>-101</v>
      </c>
      <c r="E7" s="115">
        <f>Data!$F$30+D7</f>
        <v>161</v>
      </c>
      <c r="F7" s="115">
        <f>Data!$F$31+E7</f>
        <v>146</v>
      </c>
      <c r="G7" s="115">
        <f>Data!$G$29+F7</f>
        <v>96</v>
      </c>
      <c r="H7" s="52">
        <f>Data!$G$30+G7</f>
        <v>106</v>
      </c>
      <c r="I7" s="52">
        <f>Data!$G$31+H7</f>
        <v>312</v>
      </c>
      <c r="J7" s="52">
        <f>Data!$H$28+I7</f>
        <v>566</v>
      </c>
      <c r="K7" s="52">
        <f>Data!$H$30+J7</f>
        <v>1129</v>
      </c>
      <c r="L7" s="52">
        <f>Data!$H$31+K7</f>
        <v>1686</v>
      </c>
      <c r="M7" s="52">
        <f>Data!$I$28+L7</f>
        <v>1833</v>
      </c>
      <c r="N7" s="52">
        <f>Data!$I$30+M7</f>
        <v>2249</v>
      </c>
      <c r="O7" s="52">
        <f>Data!$I$31+N7</f>
        <v>2638</v>
      </c>
      <c r="P7" s="52">
        <f>Data!$J$30+O7</f>
        <v>2729</v>
      </c>
      <c r="Q7" s="52">
        <f>Data!$J$31+P7</f>
        <v>3177</v>
      </c>
      <c r="R7" s="52">
        <f>Data!$K$30+Q7</f>
        <v>3497</v>
      </c>
      <c r="S7" s="52">
        <f>Data!$K$31+R7</f>
        <v>3860</v>
      </c>
      <c r="T7" s="52">
        <f>Data!$L$30+S7</f>
        <v>4295</v>
      </c>
      <c r="U7" s="52">
        <f>Data!$L$31+T7</f>
        <v>4787</v>
      </c>
      <c r="V7" s="52">
        <f>Data!$M$29+U7</f>
        <v>5065</v>
      </c>
      <c r="W7" s="52">
        <f>Data!$M$30+V7</f>
        <v>5321</v>
      </c>
      <c r="X7" s="52">
        <f>Data!$M$31+W7</f>
        <v>5593</v>
      </c>
      <c r="Y7" s="52">
        <f>Data!$N$29+X7</f>
        <v>5838</v>
      </c>
      <c r="Z7" s="52">
        <f>Data!$N$30+Y7</f>
        <v>6095</v>
      </c>
      <c r="AA7" s="52">
        <f>Data!$N$31+Z7</f>
        <v>6344</v>
      </c>
      <c r="AB7" s="52">
        <f>Data!$O$29+AA7</f>
        <v>6474</v>
      </c>
      <c r="AC7" s="52">
        <f>Data!$O$30+AB7</f>
        <v>6725</v>
      </c>
      <c r="AD7" s="52">
        <f>Data!$O$31+AC7</f>
        <v>6894</v>
      </c>
      <c r="AE7" s="52">
        <f>Data!$P$29+AD7</f>
        <v>7065</v>
      </c>
      <c r="AF7" s="52">
        <f>Data!$P$30+AE7</f>
        <v>7531</v>
      </c>
      <c r="AG7" s="52">
        <f>Data!$P$31+AF7</f>
        <v>7981</v>
      </c>
      <c r="AH7" s="52">
        <f>Data!$Q$29+AG7</f>
        <v>8136</v>
      </c>
      <c r="AI7" s="52">
        <f>Data!$Q$30+AH7</f>
        <v>8221</v>
      </c>
      <c r="AJ7" s="52">
        <f>Data!$Q$31+AI7</f>
        <v>8697</v>
      </c>
      <c r="AK7" s="52">
        <f>Data!$R$29+AJ7</f>
        <v>8877</v>
      </c>
      <c r="AL7" s="52">
        <f>Data!$R$30+AK7</f>
        <v>9113</v>
      </c>
      <c r="AM7" s="52">
        <f>Data!$R$31+AL7</f>
        <v>9393</v>
      </c>
      <c r="AN7" s="115">
        <f>Data!$S$29+AM7</f>
        <v>9616</v>
      </c>
      <c r="AO7" s="115">
        <f>Data!$S$30+AN7</f>
        <v>9765</v>
      </c>
      <c r="AP7" s="115">
        <f>Data!$S$31+AO7</f>
        <v>9991</v>
      </c>
      <c r="AQ7" s="115">
        <f>Data!$T$30+AP7</f>
        <v>9964</v>
      </c>
      <c r="AR7" s="115">
        <f>Data!$T$31+AQ7</f>
        <v>9894</v>
      </c>
      <c r="AS7" s="115">
        <f>Data!$U$29+AR7</f>
        <v>9906</v>
      </c>
      <c r="AT7" s="115">
        <f>Data!$U$30+AS7</f>
        <v>10110</v>
      </c>
      <c r="AU7" s="115">
        <f>Data!$U$31+AT7</f>
        <v>10347</v>
      </c>
      <c r="AV7" s="115">
        <f>Data!$V$30+AU7</f>
        <v>10273</v>
      </c>
      <c r="AW7" s="115">
        <f>Data!$V$31+AV7</f>
        <v>10314</v>
      </c>
      <c r="AX7" s="115">
        <f>Data!$W$29+AW7</f>
        <v>10324</v>
      </c>
      <c r="AY7" s="115">
        <f>Data!$W$30+AX7</f>
        <v>10315</v>
      </c>
      <c r="AZ7" s="115">
        <f>Data!$W$31+AY7</f>
        <v>10488</v>
      </c>
      <c r="BA7" s="115">
        <f>Data!$Y$29+AZ7</f>
        <v>10583</v>
      </c>
      <c r="BB7" s="115">
        <f>Data!$Y$30+BA7</f>
        <v>10642</v>
      </c>
      <c r="BC7" s="115">
        <f>Data!$Y$31+BB7</f>
        <v>10922</v>
      </c>
      <c r="BD7" s="115">
        <f>Data!$Z$29+BC7</f>
        <v>10918</v>
      </c>
      <c r="BE7" s="115">
        <f>Data!$Z$30+BD7</f>
        <v>10832</v>
      </c>
      <c r="BF7" s="115">
        <f>Data!$Z$31+BE7</f>
        <v>10870</v>
      </c>
      <c r="BG7" s="115"/>
      <c r="BH7" s="52"/>
      <c r="BI7" s="52"/>
      <c r="BJ7" s="52"/>
      <c r="BK7" s="52"/>
      <c r="BL7" s="52"/>
      <c r="BM7" s="52"/>
    </row>
    <row r="8" spans="1:80" x14ac:dyDescent="0.2">
      <c r="A8" s="9" t="s">
        <v>57</v>
      </c>
      <c r="B8" s="9">
        <f>Data!D34</f>
        <v>-99</v>
      </c>
      <c r="C8" s="115">
        <f>Data!$E$34+B8</f>
        <v>26</v>
      </c>
      <c r="D8" s="115">
        <f>Data!$E$35+C8</f>
        <v>-20</v>
      </c>
      <c r="E8" s="115">
        <f>Data!$E$36+D8</f>
        <v>32</v>
      </c>
      <c r="F8" s="115">
        <f>Data!$F$33+E8</f>
        <v>74</v>
      </c>
      <c r="G8" s="115">
        <f>Data!$F$34+F8</f>
        <v>97</v>
      </c>
      <c r="H8" s="52">
        <f>Data!$F$35+G8</f>
        <v>141</v>
      </c>
      <c r="I8" s="52">
        <f>Data!$F$36+H8</f>
        <v>245</v>
      </c>
      <c r="J8" s="52">
        <f>Data!$G$34+I8</f>
        <v>664</v>
      </c>
      <c r="K8" s="52">
        <f>Data!$G$35+J8</f>
        <v>565</v>
      </c>
      <c r="L8" s="52">
        <f>Data!$G$36+K8</f>
        <v>578</v>
      </c>
      <c r="M8" s="52">
        <f>Data!$H$34+L8</f>
        <v>616</v>
      </c>
      <c r="N8" s="52">
        <f>Data!$H$36+M8</f>
        <v>1000</v>
      </c>
      <c r="O8" s="52">
        <f>Data!$I$33+N8</f>
        <v>1341</v>
      </c>
      <c r="P8" s="52">
        <f>Data!$I$34+O8</f>
        <v>1479</v>
      </c>
      <c r="Q8" s="52">
        <f>Data!$I$35+P8</f>
        <v>1584</v>
      </c>
      <c r="R8" s="52">
        <f>Data!$I$36+Q8</f>
        <v>1981</v>
      </c>
      <c r="S8" s="52">
        <f>Data!$J$33+R8</f>
        <v>2107</v>
      </c>
      <c r="T8" s="52">
        <f>Data!$J$34+S8</f>
        <v>2621</v>
      </c>
      <c r="U8" s="52">
        <f>Data!$J$35+T8</f>
        <v>2820</v>
      </c>
      <c r="V8" s="52">
        <f>Data!$J$36+U8</f>
        <v>3198</v>
      </c>
      <c r="W8" s="52">
        <f>Data!$K$33+V8</f>
        <v>3331</v>
      </c>
      <c r="X8" s="52">
        <f>Data!$K$34+W8</f>
        <v>3665</v>
      </c>
      <c r="Y8" s="52">
        <f>Data!$K$35+X8</f>
        <v>3734</v>
      </c>
      <c r="Z8" s="52">
        <f>Data!$K$36+Y8</f>
        <v>4135</v>
      </c>
      <c r="AA8" s="52">
        <f>Data!$L$34+Z8</f>
        <v>4533</v>
      </c>
      <c r="AB8" s="52">
        <f>Data!$L$35+AA8</f>
        <v>4848</v>
      </c>
      <c r="AC8" s="52">
        <f>Data!$L$36+AB8</f>
        <v>5384</v>
      </c>
      <c r="AD8" s="52">
        <f>Data!$M$33+AC8</f>
        <v>5525</v>
      </c>
      <c r="AE8" s="52">
        <f>Data!$M$34+AD8</f>
        <v>6068</v>
      </c>
      <c r="AF8" s="52">
        <f>Data!$M$35+AE8</f>
        <v>6395</v>
      </c>
      <c r="AG8" s="52">
        <f>Data!$M$36+AF8</f>
        <v>6868</v>
      </c>
      <c r="AH8" s="52">
        <f>Data!$N$33+AG8</f>
        <v>7019</v>
      </c>
      <c r="AI8" s="52">
        <f>Data!$N$34+AH8</f>
        <v>7136</v>
      </c>
      <c r="AJ8" s="52">
        <f>Data!$N$35+AI8</f>
        <v>7397</v>
      </c>
      <c r="AK8" s="52">
        <f>Data!$N$36+AJ8</f>
        <v>7786</v>
      </c>
      <c r="AL8" s="52">
        <f>Data!$O$33+AK8</f>
        <v>8230</v>
      </c>
      <c r="AM8" s="52">
        <f>Data!$O$34+AL8</f>
        <v>8396</v>
      </c>
      <c r="AN8" s="115">
        <f>Data!$O$35+AM8</f>
        <v>8506</v>
      </c>
      <c r="AO8" s="115">
        <f>Data!$O$36+AN8</f>
        <v>8938</v>
      </c>
      <c r="AP8" s="115">
        <f>Data!$P$33+AO8</f>
        <v>9303</v>
      </c>
      <c r="AQ8" s="115">
        <f>Data!$P$35+AP8</f>
        <v>9425</v>
      </c>
      <c r="AR8" s="115">
        <f>Data!$P$36+AQ8</f>
        <v>9513</v>
      </c>
      <c r="AS8" s="115">
        <f>Data!$Q$33+AR8</f>
        <v>9884</v>
      </c>
      <c r="AT8" s="115">
        <f>Data!$Q$35+AS8</f>
        <v>9897</v>
      </c>
      <c r="AU8" s="115">
        <f>Data!$Q$36+AT8</f>
        <v>10233</v>
      </c>
      <c r="AV8" s="115">
        <f>Data!$R$33+AU8</f>
        <v>10367</v>
      </c>
      <c r="AW8" s="115">
        <f>Data!$R$34+AV8</f>
        <v>10374</v>
      </c>
      <c r="AX8" s="115">
        <f>Data!$R$35+AW8</f>
        <v>10374</v>
      </c>
      <c r="AY8" s="115">
        <f>Data!$R$36+AX8</f>
        <v>10584</v>
      </c>
      <c r="AZ8" s="115">
        <f>Data!$S$33+AY8</f>
        <v>10522</v>
      </c>
      <c r="BA8" s="115">
        <f>Data!$S$34+AZ8</f>
        <v>10423</v>
      </c>
      <c r="BB8" s="115">
        <f>Data!$S$35+BA8</f>
        <v>10400</v>
      </c>
      <c r="BC8" s="115">
        <f>Data!$S$36+BB8</f>
        <v>10301</v>
      </c>
      <c r="BD8" s="115">
        <f>Data!$T$33+BC8</f>
        <v>10480</v>
      </c>
      <c r="BE8" s="115">
        <f>Data!$T$34+BD8</f>
        <v>10463</v>
      </c>
      <c r="BF8" s="115">
        <f>Data!$T$36+BE8</f>
        <v>10423</v>
      </c>
      <c r="BG8" s="115"/>
      <c r="BH8" s="52"/>
      <c r="BI8" s="52"/>
      <c r="BJ8" s="52"/>
      <c r="BK8" s="52"/>
      <c r="BL8" s="52"/>
      <c r="BM8" s="52"/>
    </row>
    <row r="9" spans="1:80" x14ac:dyDescent="0.2">
      <c r="A9" s="9" t="s">
        <v>65</v>
      </c>
      <c r="B9" s="9">
        <f>Data!D41</f>
        <v>-99</v>
      </c>
      <c r="C9" s="115">
        <f>Data!$E$39+B9</f>
        <v>-190</v>
      </c>
      <c r="D9" s="115">
        <f>Data!$E$40+C9</f>
        <v>-199</v>
      </c>
      <c r="E9" s="115">
        <f>Data!$E$41+D9</f>
        <v>-210</v>
      </c>
      <c r="F9" s="115">
        <f>Data!$F$39+E9</f>
        <v>-30</v>
      </c>
      <c r="G9" s="115">
        <f>Data!$F$41+F9</f>
        <v>170</v>
      </c>
      <c r="H9" s="52">
        <f>Data!$G$39+G9</f>
        <v>182</v>
      </c>
      <c r="I9" s="52">
        <f>Data!$G$41+H9</f>
        <v>292</v>
      </c>
      <c r="J9" s="52">
        <f>Data!$H$39+I9</f>
        <v>573</v>
      </c>
      <c r="K9" s="52">
        <f>Data!$H$41+J9</f>
        <v>952</v>
      </c>
      <c r="L9" s="52">
        <f>Data!$I$39+K9</f>
        <v>1306</v>
      </c>
      <c r="M9" s="52">
        <f>Data!$I$40+L9</f>
        <v>1453</v>
      </c>
      <c r="N9" s="52">
        <f>Data!$I$41+M9</f>
        <v>1406</v>
      </c>
      <c r="O9" s="52">
        <f>Data!$J$39+N9</f>
        <v>1715</v>
      </c>
      <c r="P9" s="52">
        <f>Data!$J$40+O9</f>
        <v>2173</v>
      </c>
      <c r="Q9" s="52">
        <f>Data!$J$41+P9</f>
        <v>2359</v>
      </c>
      <c r="R9" s="52">
        <f>Data!$K$40+Q9</f>
        <v>2526</v>
      </c>
      <c r="S9" s="52">
        <f>Data!$K$41+R9</f>
        <v>2465</v>
      </c>
      <c r="T9" s="52">
        <f>Data!$L$39+S9</f>
        <v>2455</v>
      </c>
      <c r="U9" s="52">
        <f>Data!$L$40+T9</f>
        <v>2587</v>
      </c>
      <c r="V9" s="52">
        <f>Data!$L$41+U9</f>
        <v>3095</v>
      </c>
      <c r="W9" s="52">
        <f>Data!$M$38+V9</f>
        <v>3471</v>
      </c>
      <c r="X9" s="52">
        <f>Data!$M$39+W9</f>
        <v>3600</v>
      </c>
      <c r="Y9" s="52">
        <f>Data!$M$40+X9</f>
        <v>3805</v>
      </c>
      <c r="Z9" s="52">
        <f>Data!$M$41+Y9</f>
        <v>4165</v>
      </c>
      <c r="AA9" s="52">
        <f>Data!$N$38+Z9</f>
        <v>4346</v>
      </c>
      <c r="AB9" s="52">
        <f>Data!$N$39+AA9</f>
        <v>4275</v>
      </c>
      <c r="AC9" s="52">
        <f>Data!$N$40+AB9</f>
        <v>4176</v>
      </c>
      <c r="AD9" s="52">
        <f>Data!$N$41+AC9</f>
        <v>4365</v>
      </c>
      <c r="AE9" s="52">
        <f>Data!O41+AD9</f>
        <v>4411</v>
      </c>
      <c r="AF9" s="52">
        <f>Data!$P$38+AE9</f>
        <v>4510</v>
      </c>
      <c r="AG9" s="52">
        <f>Data!$P$39+AF9</f>
        <v>4411</v>
      </c>
      <c r="AH9" s="52">
        <f>Data!$P$40+AG9</f>
        <v>4384</v>
      </c>
      <c r="AI9" s="52">
        <f>Data!$P$41+AH9</f>
        <v>4505</v>
      </c>
      <c r="AJ9" s="52">
        <f>Data!$Q$38+AI9</f>
        <v>4529</v>
      </c>
      <c r="AK9" s="52">
        <f>Data!$Q$39+AJ9</f>
        <v>4829</v>
      </c>
      <c r="AL9" s="52">
        <f>Data!$Q$40+AK9</f>
        <v>5160</v>
      </c>
      <c r="AM9" s="52">
        <f>Data!$Q$41+AL9</f>
        <v>5464</v>
      </c>
      <c r="AN9" s="115">
        <f>Data!$R$38+AM9</f>
        <v>5973</v>
      </c>
      <c r="AO9" s="115">
        <f>Data!$R$39+AN9</f>
        <v>5934</v>
      </c>
      <c r="AP9" s="115">
        <f>Data!$R$40+AO9</f>
        <v>6144</v>
      </c>
      <c r="AQ9" s="115">
        <f>Data!$R$41+AP9</f>
        <v>6108</v>
      </c>
      <c r="AR9" s="115">
        <f>Data!$S$38+AQ9</f>
        <v>6531</v>
      </c>
      <c r="AS9" s="115">
        <f>Data!$S$39+AR9</f>
        <v>6723</v>
      </c>
      <c r="AT9" s="115">
        <f>Data!$S$40+AS9</f>
        <v>6916</v>
      </c>
      <c r="AU9" s="115">
        <f>Data!$S$41+AT9</f>
        <v>7019</v>
      </c>
      <c r="AV9" s="115">
        <f>Data!$T$39+AU9</f>
        <v>7131</v>
      </c>
      <c r="AW9" s="115">
        <f>Data!$T$40+AV9</f>
        <v>7065</v>
      </c>
      <c r="AX9" s="115">
        <f>Data!$T$41+AW9</f>
        <v>7291</v>
      </c>
      <c r="AY9" s="115">
        <f>Data!$U$38+AX9</f>
        <v>7729</v>
      </c>
      <c r="AZ9" s="115">
        <f>Data!$U$39+AY9</f>
        <v>7881</v>
      </c>
      <c r="BA9" s="115">
        <f>Data!$U$40+AZ9</f>
        <v>7919</v>
      </c>
      <c r="BB9" s="115">
        <f>Data!$U$41+BA9</f>
        <v>8140</v>
      </c>
      <c r="BC9" s="115">
        <f>Data!$V$38+BB9</f>
        <v>8258</v>
      </c>
      <c r="BD9" s="115">
        <f>Data!$V$39+BC9</f>
        <v>8159</v>
      </c>
      <c r="BE9" s="115">
        <f>Data!$V$41+BD9</f>
        <v>8405</v>
      </c>
      <c r="BF9" s="115">
        <f>Data!$W$38+BE9</f>
        <v>8637</v>
      </c>
      <c r="BG9" s="115">
        <f>Data!$W$39+BF9</f>
        <v>8542</v>
      </c>
      <c r="BH9" s="52">
        <f>Data!$W$41+BG9</f>
        <v>8814</v>
      </c>
      <c r="BI9" s="52">
        <f>Data!X40+BH9</f>
        <v>8873</v>
      </c>
      <c r="BJ9" s="52">
        <f>Data!X41+BI9</f>
        <v>8891</v>
      </c>
      <c r="BK9" s="52"/>
      <c r="BL9" s="52"/>
      <c r="BM9" s="52"/>
    </row>
    <row r="10" spans="1:80" x14ac:dyDescent="0.2">
      <c r="A10" s="9" t="s">
        <v>70</v>
      </c>
      <c r="B10" s="9">
        <f>Data!$D$44</f>
        <v>-22</v>
      </c>
      <c r="C10" s="115">
        <f>Data!$D$45+B10</f>
        <v>230</v>
      </c>
      <c r="D10" s="115">
        <f>Data!$D$46+C10</f>
        <v>369</v>
      </c>
      <c r="E10" s="115">
        <f>Data!$E$45+D10</f>
        <v>270</v>
      </c>
      <c r="F10" s="115">
        <f>Data!$E$46+E10</f>
        <v>528</v>
      </c>
      <c r="G10" s="115">
        <f>Data!$F$45+F10</f>
        <v>659</v>
      </c>
      <c r="H10" s="52">
        <f>Data!$F$46+G10</f>
        <v>1139</v>
      </c>
      <c r="I10" s="52">
        <f>Data!$G$44+H10</f>
        <v>1139</v>
      </c>
      <c r="J10" s="52">
        <f>Data!$G$45+I10</f>
        <v>1415</v>
      </c>
      <c r="K10" s="52">
        <f>Data!$G$46+J10</f>
        <v>1854</v>
      </c>
      <c r="L10" s="52">
        <f>Data!$H$44+K10</f>
        <v>2002</v>
      </c>
      <c r="M10" s="52">
        <f>Data!$H$45+L10</f>
        <v>2542</v>
      </c>
      <c r="N10" s="52">
        <f>Data!$H$46+M10</f>
        <v>2976</v>
      </c>
      <c r="O10" s="52">
        <f>Data!$I$45+N10</f>
        <v>3326</v>
      </c>
      <c r="P10" s="52">
        <f>Data!$I$46+O10</f>
        <v>3554</v>
      </c>
      <c r="Q10" s="52">
        <f>Data!$J$43+P10</f>
        <v>3685</v>
      </c>
      <c r="R10" s="52">
        <f>Data!$J$44+Q10</f>
        <v>3803</v>
      </c>
      <c r="S10" s="52">
        <f>Data!$J$45+R10</f>
        <v>4162</v>
      </c>
      <c r="T10" s="52">
        <f>Data!$J$46+S10</f>
        <v>4178</v>
      </c>
      <c r="U10" s="52">
        <f>Data!$K$44+T10</f>
        <v>4603</v>
      </c>
      <c r="V10" s="52">
        <f>Data!$K$45+U10</f>
        <v>5057</v>
      </c>
      <c r="W10" s="52">
        <f>Data!$K$46+V10</f>
        <v>5481</v>
      </c>
      <c r="X10" s="52">
        <f>Data!$L$43+W10</f>
        <v>5546</v>
      </c>
      <c r="Y10" s="52">
        <f>Data!$L$44+X10</f>
        <v>5746</v>
      </c>
      <c r="Z10" s="52">
        <f>Data!$L$45+Y10</f>
        <v>5752</v>
      </c>
      <c r="AA10" s="52">
        <f>Data!$L$46+Z10</f>
        <v>6089</v>
      </c>
      <c r="AB10" s="52">
        <f>Data!$M$46+AA10</f>
        <v>6069</v>
      </c>
      <c r="AC10" s="52">
        <f>Data!$N$44+AB10</f>
        <v>6020</v>
      </c>
      <c r="AD10" s="52">
        <f>Data!$N$46+AC10</f>
        <v>6227</v>
      </c>
      <c r="AE10" s="52">
        <f>Data!$O$44+AD10</f>
        <v>6264</v>
      </c>
      <c r="AF10" s="52">
        <f>Data!$O$45+AE10</f>
        <v>6227</v>
      </c>
      <c r="AG10" s="52">
        <f>Data!$O$46+AF10</f>
        <v>6192</v>
      </c>
      <c r="AH10" s="52">
        <f>Data!$P$43+AG10</f>
        <v>6330</v>
      </c>
      <c r="AI10" s="52">
        <f>Data!$P$45+AH10</f>
        <v>6601</v>
      </c>
      <c r="AJ10" s="52">
        <f>Data!$P$46+AI10</f>
        <v>6503</v>
      </c>
      <c r="AK10" s="52">
        <f>Data!$Q$43+AJ10</f>
        <v>6509</v>
      </c>
      <c r="AL10" s="52">
        <f>Data!$Q$45+AK10</f>
        <v>6410</v>
      </c>
      <c r="AM10" s="52">
        <f>Data!$Q$46+AL10</f>
        <v>6705</v>
      </c>
      <c r="AN10" s="115">
        <f>Data!$R$44+AM10</f>
        <v>6688</v>
      </c>
      <c r="AO10" s="115">
        <f>Data!$R$45+AN10</f>
        <v>6725</v>
      </c>
      <c r="AP10" s="115">
        <f>Data!$R$46+AO10</f>
        <v>6705</v>
      </c>
      <c r="AQ10" s="115">
        <f>Data!$S$43+AP10</f>
        <v>6933</v>
      </c>
      <c r="AR10" s="115">
        <f>Data!$S$44+AQ10</f>
        <v>6839</v>
      </c>
      <c r="AS10" s="115">
        <f>Data!$S$45+AR10</f>
        <v>7048</v>
      </c>
      <c r="AT10" s="115">
        <f>Data!$S$46+AS10</f>
        <v>7077</v>
      </c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52"/>
      <c r="BI10" s="52"/>
      <c r="BJ10" s="52"/>
      <c r="BK10" s="52"/>
      <c r="BL10" s="52"/>
      <c r="BM10" s="52"/>
    </row>
    <row r="11" spans="1:80" x14ac:dyDescent="0.2">
      <c r="A11" s="9" t="s">
        <v>82</v>
      </c>
      <c r="B11" s="9">
        <f>Data!D48</f>
        <v>-99</v>
      </c>
      <c r="C11" s="115">
        <f>Data!D50+B11</f>
        <v>-98</v>
      </c>
      <c r="D11" s="115">
        <f>Data!$E$49+C11</f>
        <v>410</v>
      </c>
      <c r="E11" s="115">
        <f>Data!$E$50+D11</f>
        <v>521</v>
      </c>
      <c r="F11" s="115">
        <f>Data!$E$51+E11</f>
        <v>636</v>
      </c>
      <c r="G11" s="115">
        <f>Data!$F$48+F11</f>
        <v>1140</v>
      </c>
      <c r="H11" s="52">
        <f>Data!$F$49+G11</f>
        <v>1495</v>
      </c>
      <c r="I11" s="52">
        <f>Data!$F$50+H11</f>
        <v>1501</v>
      </c>
      <c r="J11" s="52">
        <f>Data!$F$51+I11</f>
        <v>1680</v>
      </c>
      <c r="K11" s="52">
        <f>Data!$G$48+J11</f>
        <v>2016</v>
      </c>
      <c r="L11" s="52">
        <f>Data!$G$49+K11</f>
        <v>2285</v>
      </c>
      <c r="M11" s="52">
        <f>Data!$G$50+L11</f>
        <v>2253</v>
      </c>
      <c r="N11" s="52">
        <f>Data!$G$51+M11</f>
        <v>2407</v>
      </c>
      <c r="O11" s="52">
        <f>Data!$H$48+N11</f>
        <v>2650</v>
      </c>
      <c r="P11" s="52">
        <f>Data!$H$49+O11</f>
        <v>3146</v>
      </c>
      <c r="Q11" s="52">
        <f>Data!$H$50+P11</f>
        <v>3069</v>
      </c>
      <c r="R11" s="52">
        <f>Data!$H$51+Q11</f>
        <v>3373</v>
      </c>
      <c r="S11" s="52">
        <f>Data!$I$49+R11</f>
        <v>3393</v>
      </c>
      <c r="T11" s="52">
        <f>Data!$I$50+S11</f>
        <v>3347</v>
      </c>
      <c r="U11" s="52">
        <f>Data!$I$51+T11</f>
        <v>3420</v>
      </c>
      <c r="V11" s="52">
        <f>Data!$J$49+U11</f>
        <v>3824</v>
      </c>
      <c r="W11" s="52">
        <f>Data!$J$50+V11</f>
        <v>4044</v>
      </c>
      <c r="X11" s="52">
        <f>Data!$J$51+W11</f>
        <v>4270</v>
      </c>
      <c r="Y11" s="52">
        <f>Data!$K$48+X11</f>
        <v>4690</v>
      </c>
      <c r="Z11" s="52">
        <f>Data!$K$49+Y11</f>
        <v>5155</v>
      </c>
      <c r="AA11" s="52">
        <f>Data!$K$50+Z11</f>
        <v>5276</v>
      </c>
      <c r="AB11" s="52">
        <f>Data!$K$51+AA11</f>
        <v>5780</v>
      </c>
      <c r="AC11" s="52">
        <f>Data!$L$48+AB11</f>
        <v>5730</v>
      </c>
      <c r="AD11" s="52">
        <f>Data!$L$49+AC11</f>
        <v>5783</v>
      </c>
      <c r="AE11" s="52">
        <f>Data!$L$50+AD11</f>
        <v>5910</v>
      </c>
      <c r="AF11" s="52">
        <f>Data!$L$51+AE11</f>
        <v>5890</v>
      </c>
      <c r="AG11" s="52">
        <f>Data!M48+AF11</f>
        <v>6083</v>
      </c>
      <c r="AH11" s="52">
        <f>Data!M51+AG11</f>
        <v>6075</v>
      </c>
      <c r="AI11" s="52">
        <f>Data!N48+AH11</f>
        <v>6084</v>
      </c>
      <c r="AJ11" s="52">
        <f>Data!N49+AI11</f>
        <v>6035</v>
      </c>
      <c r="AK11" s="52">
        <f>Data!P51+AJ11</f>
        <v>6113</v>
      </c>
      <c r="AL11" s="52">
        <f>Data!Q48+AK11</f>
        <v>6090</v>
      </c>
      <c r="AM11" s="52">
        <f>Data!Q49+AL11</f>
        <v>6071</v>
      </c>
      <c r="AN11" s="115">
        <f>Data!Q51+AM11</f>
        <v>5972</v>
      </c>
      <c r="AO11" s="115">
        <f>Data!R48+AN11</f>
        <v>5948</v>
      </c>
      <c r="AP11" s="115">
        <f>Data!R49+AO11</f>
        <v>5943</v>
      </c>
      <c r="AQ11" s="115">
        <f>Data!R50+AP11</f>
        <v>5948</v>
      </c>
      <c r="AR11" s="115">
        <f>Data!R51+AQ11</f>
        <v>5934</v>
      </c>
      <c r="AS11" s="115">
        <f>Data!S49+AR11</f>
        <v>5919</v>
      </c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52"/>
      <c r="BI11" s="52"/>
      <c r="BJ11" s="52"/>
      <c r="BK11" s="52"/>
      <c r="BL11" s="52"/>
      <c r="BM11" s="52"/>
    </row>
    <row r="12" spans="1:80" x14ac:dyDescent="0.2">
      <c r="A12" s="9" t="s">
        <v>87</v>
      </c>
      <c r="B12" s="9">
        <f>Data!D53</f>
        <v>-97</v>
      </c>
      <c r="C12" s="115">
        <f>Data!D55+B12</f>
        <v>-46</v>
      </c>
      <c r="D12" s="115">
        <f>Data!D56+C12</f>
        <v>-143</v>
      </c>
      <c r="E12" s="115">
        <f>Data!$E$53+D12</f>
        <v>-96</v>
      </c>
      <c r="F12" s="115">
        <f>Data!$E$54+E12</f>
        <v>-49</v>
      </c>
      <c r="G12" s="115">
        <f>Data!$E$55+F12</f>
        <v>-17</v>
      </c>
      <c r="H12" s="52">
        <f>Data!$E$56+G12</f>
        <v>-17</v>
      </c>
      <c r="I12" s="52">
        <f>Data!$F$53+H12</f>
        <v>359</v>
      </c>
      <c r="J12" s="52">
        <f>Data!$F$54+I12</f>
        <v>524</v>
      </c>
      <c r="K12" s="52">
        <f>Data!$F$55+J12</f>
        <v>586</v>
      </c>
      <c r="L12" s="52">
        <f>Data!$F$56+K12</f>
        <v>775</v>
      </c>
      <c r="M12" s="52">
        <f>Data!$G$54+L12</f>
        <v>749</v>
      </c>
      <c r="N12" s="52">
        <f>Data!$G$55+M12</f>
        <v>800</v>
      </c>
      <c r="O12" s="52">
        <f>Data!$G$56+N12</f>
        <v>1026</v>
      </c>
      <c r="P12" s="52">
        <f>Data!$H$53+O12</f>
        <v>1378</v>
      </c>
      <c r="Q12" s="52">
        <f>Data!$H$54+P12</f>
        <v>1280</v>
      </c>
      <c r="R12" s="52">
        <f>Data!$H$55+Q12</f>
        <v>1510</v>
      </c>
      <c r="S12" s="52">
        <f>Data!$H$56+R12</f>
        <v>1790</v>
      </c>
      <c r="T12" s="52">
        <f>Data!$I$53+S12</f>
        <v>1925</v>
      </c>
      <c r="U12" s="52">
        <f>Data!$I$54+T12</f>
        <v>1973</v>
      </c>
      <c r="V12" s="52">
        <f>Data!$I$55+U12</f>
        <v>2322</v>
      </c>
      <c r="W12" s="52">
        <f>Data!$I$56+V12</f>
        <v>2358</v>
      </c>
      <c r="X12" s="52">
        <f>Data!$J$53+W12</f>
        <v>2506</v>
      </c>
      <c r="Y12" s="52">
        <f>Data!$J$54+X12</f>
        <v>2765</v>
      </c>
      <c r="Z12" s="52">
        <f>Data!$J$55+Y12</f>
        <v>3080</v>
      </c>
      <c r="AA12" s="52">
        <f>Data!$J$56+Z12</f>
        <v>3122</v>
      </c>
      <c r="AB12" s="52">
        <f>Data!$K$53+AA12</f>
        <v>3408</v>
      </c>
      <c r="AC12" s="52">
        <f>Data!$K$54+AB12</f>
        <v>3362</v>
      </c>
      <c r="AD12" s="52">
        <f>Data!$K$55+AC12</f>
        <v>3797</v>
      </c>
      <c r="AE12" s="52">
        <f>Data!$K$56+AD12</f>
        <v>3745</v>
      </c>
      <c r="AF12" s="52">
        <f>Data!$L$53+AE12</f>
        <v>3887</v>
      </c>
      <c r="AG12" s="52">
        <f>Data!$L$54+AF12</f>
        <v>4117</v>
      </c>
      <c r="AH12" s="52">
        <f>Data!$L$55+AG12</f>
        <v>4293</v>
      </c>
      <c r="AI12" s="52">
        <f>Data!$L$56+AH12</f>
        <v>4666</v>
      </c>
      <c r="AJ12" s="52">
        <f>Data!$M$53+AI12</f>
        <v>4913</v>
      </c>
      <c r="AK12" s="52">
        <f>Data!$M$54+AJ12</f>
        <v>4932</v>
      </c>
      <c r="AL12" s="52">
        <f>Data!$M$55+AK12</f>
        <v>4938</v>
      </c>
      <c r="AM12" s="52">
        <f>Data!$M$56+AL12</f>
        <v>5484</v>
      </c>
      <c r="AN12" s="115">
        <f>Data!$N$53+AM12</f>
        <v>5806</v>
      </c>
      <c r="AO12" s="115">
        <f>Data!$N$54+AN12</f>
        <v>5933</v>
      </c>
      <c r="AP12" s="115">
        <f>Data!$N$55+AO12</f>
        <v>6102</v>
      </c>
      <c r="AQ12" s="115">
        <f>Data!$N$56+AP12</f>
        <v>6085</v>
      </c>
      <c r="AR12" s="115">
        <f>Data!$O$53+AQ12</f>
        <v>6333</v>
      </c>
      <c r="AS12" s="115">
        <f>Data!$O$54+AR12</f>
        <v>6296</v>
      </c>
      <c r="AT12" s="115">
        <f>Data!$O$55+AS12</f>
        <v>6198</v>
      </c>
      <c r="AU12" s="115">
        <f>Data!$O$56+AT12</f>
        <v>6145</v>
      </c>
      <c r="AV12" s="115">
        <f>Data!$P$53+AU12</f>
        <v>6141</v>
      </c>
      <c r="AW12" s="115">
        <f>Data!$P$54+AV12</f>
        <v>6195</v>
      </c>
      <c r="AX12" s="115">
        <f>Data!$P$55+AW12</f>
        <v>6109</v>
      </c>
      <c r="AY12" s="115">
        <f>Data!$P$56+AX12</f>
        <v>6147</v>
      </c>
      <c r="AZ12" s="115">
        <f>Data!$Q$53+AY12</f>
        <v>6112</v>
      </c>
      <c r="BA12" s="115">
        <f>Data!$Q$54+AZ12</f>
        <v>6321</v>
      </c>
      <c r="BB12" s="115">
        <f>Data!$Q$55+BA12</f>
        <v>6312</v>
      </c>
      <c r="BC12" s="115">
        <f>Data!$Q$56+BB12</f>
        <v>6568</v>
      </c>
      <c r="BD12" s="115"/>
      <c r="BE12" s="115"/>
      <c r="BF12" s="115"/>
      <c r="BG12" s="115"/>
      <c r="BH12" s="52"/>
      <c r="BI12" s="52"/>
      <c r="BJ12" s="52"/>
      <c r="BK12" s="52"/>
      <c r="BL12" s="52"/>
      <c r="BM12" s="52"/>
    </row>
    <row r="13" spans="1:80" x14ac:dyDescent="0.2">
      <c r="A13" s="9" t="s">
        <v>90</v>
      </c>
      <c r="B13" s="9">
        <f>Data!D58</f>
        <v>168</v>
      </c>
      <c r="C13" s="115">
        <f>Data!D60+B13</f>
        <v>203</v>
      </c>
      <c r="D13" s="115">
        <f>Data!$E$58+C13</f>
        <v>105</v>
      </c>
      <c r="E13" s="115">
        <f>Data!$E$59+D13</f>
        <v>178</v>
      </c>
      <c r="F13" s="115">
        <f>Data!$E$60+E13</f>
        <v>705</v>
      </c>
      <c r="G13" s="115">
        <f>Data!$E$61+F13</f>
        <v>700</v>
      </c>
      <c r="H13" s="52">
        <f>Data!$F$59+G13</f>
        <v>853</v>
      </c>
      <c r="I13" s="52">
        <f>Data!$F$60+H13</f>
        <v>1369</v>
      </c>
      <c r="J13" s="52">
        <f>Data!$F$61+I13</f>
        <v>1485</v>
      </c>
      <c r="K13" s="52">
        <f>Data!$G$58+J13</f>
        <v>1513</v>
      </c>
      <c r="L13" s="52">
        <f>Data!$G$59+K13</f>
        <v>1740</v>
      </c>
      <c r="M13" s="52">
        <f>Data!$G$60+L13</f>
        <v>1740</v>
      </c>
      <c r="N13" s="52">
        <f>Data!$G$61+M13</f>
        <v>1778</v>
      </c>
      <c r="O13" s="52">
        <f>Data!$H$59+N13</f>
        <v>1914</v>
      </c>
      <c r="P13" s="52">
        <f>Data!$H$60+O13</f>
        <v>2261</v>
      </c>
      <c r="Q13" s="52">
        <f>Data!$H$61+P13</f>
        <v>2243</v>
      </c>
      <c r="R13" s="52">
        <f>Data!$I$58+Q13</f>
        <v>2239</v>
      </c>
      <c r="S13" s="52">
        <f>Data!$I$59+R13</f>
        <v>2439</v>
      </c>
      <c r="T13" s="52">
        <f>Data!$I$60+S13</f>
        <v>2868</v>
      </c>
      <c r="U13" s="52">
        <f>Data!$I$61+T13</f>
        <v>3369</v>
      </c>
      <c r="V13" s="52">
        <f>Data!$J$58+U13</f>
        <v>3543</v>
      </c>
      <c r="W13" s="52">
        <f>Data!$J$59+V13</f>
        <v>3492</v>
      </c>
      <c r="X13" s="52">
        <f>Data!$J$60+W13</f>
        <v>3787</v>
      </c>
      <c r="Y13" s="52">
        <f>Data!$J$61+X13</f>
        <v>4108</v>
      </c>
      <c r="Z13" s="52">
        <f>Data!$K$58+Y13</f>
        <v>4425</v>
      </c>
      <c r="AA13" s="52">
        <f>Data!$K$59+Z13</f>
        <v>4740</v>
      </c>
      <c r="AB13" s="52">
        <f>Data!$K$60+AA13</f>
        <v>5069</v>
      </c>
      <c r="AC13" s="52">
        <f>Data!$K$61+AB13</f>
        <v>5164</v>
      </c>
      <c r="AD13" s="52">
        <f>Data!$L$58+AC13</f>
        <v>5168</v>
      </c>
      <c r="AE13" s="52">
        <f>Data!$L$60+AD13</f>
        <v>5347</v>
      </c>
      <c r="AF13" s="52">
        <f>Data!$L$61+AE13</f>
        <v>5431</v>
      </c>
      <c r="AG13" s="52">
        <f>Data!$M$58+AF13</f>
        <v>5332</v>
      </c>
      <c r="AH13" s="52">
        <f>Data!$M$59+AG13</f>
        <v>5237</v>
      </c>
      <c r="AI13" s="52">
        <f>Data!$M$60+AH13</f>
        <v>5572</v>
      </c>
      <c r="AJ13" s="52">
        <f>Data!$M$61+AI13</f>
        <v>5620</v>
      </c>
      <c r="AK13" s="52">
        <f>Data!$N$60+AJ13</f>
        <v>5749</v>
      </c>
      <c r="AL13" s="52">
        <f>Data!$N$61+AK13</f>
        <v>5701</v>
      </c>
      <c r="AM13" s="52">
        <f>Data!$O$58+AL13</f>
        <v>5636</v>
      </c>
      <c r="AN13" s="115">
        <f>Data!$O$59+AM13</f>
        <v>5620</v>
      </c>
      <c r="AO13" s="115">
        <f>Data!$O$60+AN13</f>
        <v>5842</v>
      </c>
      <c r="AP13" s="115">
        <f>Data!$O$61+AO13</f>
        <v>6009</v>
      </c>
      <c r="AQ13" s="115">
        <f>Data!$P$58+AP13</f>
        <v>6493</v>
      </c>
      <c r="AR13" s="115">
        <f>Data!$P$60+AQ13</f>
        <v>6446</v>
      </c>
      <c r="AS13" s="115">
        <f>Data!$Q$58+AR13</f>
        <v>6421</v>
      </c>
      <c r="AT13" s="115">
        <f>Data!$Q$60+AS13</f>
        <v>6591</v>
      </c>
      <c r="AU13" s="115">
        <f>Data!$S$60+AT13</f>
        <v>6740</v>
      </c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52"/>
      <c r="BI13" s="52"/>
      <c r="BJ13" s="52"/>
      <c r="BK13" s="52"/>
      <c r="BL13" s="52"/>
      <c r="BM13" s="52"/>
    </row>
    <row r="14" spans="1:80" x14ac:dyDescent="0.2">
      <c r="A14" s="58" t="s">
        <v>103</v>
      </c>
      <c r="B14" s="194" t="s">
        <v>104</v>
      </c>
      <c r="C14" s="194"/>
      <c r="D14" s="194"/>
      <c r="E14" s="194"/>
      <c r="F14" s="194"/>
      <c r="G14" s="194"/>
      <c r="H14" s="194"/>
      <c r="I14" s="194"/>
      <c r="J14" s="194"/>
    </row>
    <row r="15" spans="1:80" ht="16" customHeight="1" x14ac:dyDescent="0.2">
      <c r="A15" s="189" t="s">
        <v>95</v>
      </c>
      <c r="B15" s="194" t="s">
        <v>96</v>
      </c>
      <c r="C15" s="194"/>
      <c r="D15" s="9" t="s">
        <v>97</v>
      </c>
      <c r="E15" s="9" t="s">
        <v>63</v>
      </c>
    </row>
    <row r="16" spans="1:80" x14ac:dyDescent="0.2">
      <c r="A16" s="189"/>
      <c r="B16" s="194" t="s">
        <v>20</v>
      </c>
      <c r="C16" s="194"/>
      <c r="D16" s="9">
        <v>2</v>
      </c>
      <c r="E16" s="9">
        <f ca="1">SUMIF($B$16:C16, B16,$D$16:D16)</f>
        <v>2</v>
      </c>
    </row>
    <row r="17" spans="1:32" x14ac:dyDescent="0.2">
      <c r="A17" s="189"/>
      <c r="B17" s="194" t="s">
        <v>82</v>
      </c>
      <c r="C17" s="194"/>
      <c r="D17" s="9">
        <v>2</v>
      </c>
      <c r="E17" s="53">
        <f ca="1">SUMIF($B$16:C17, B17,$D$16:D17)</f>
        <v>2</v>
      </c>
    </row>
    <row r="18" spans="1:32" x14ac:dyDescent="0.2">
      <c r="A18" s="189"/>
      <c r="B18" s="194" t="s">
        <v>20</v>
      </c>
      <c r="C18" s="194"/>
      <c r="D18" s="9">
        <v>1</v>
      </c>
      <c r="E18" s="53">
        <f ca="1">SUMIF($B$16:C18, B18,$D$16:D18)</f>
        <v>3</v>
      </c>
    </row>
    <row r="19" spans="1:32" x14ac:dyDescent="0.2">
      <c r="A19" s="189"/>
      <c r="B19" s="194" t="s">
        <v>82</v>
      </c>
      <c r="C19" s="194"/>
      <c r="D19" s="9">
        <v>6</v>
      </c>
      <c r="E19" s="53">
        <f ca="1">SUMIF($B$16:C19, B19,$D$16:D19)</f>
        <v>8</v>
      </c>
    </row>
    <row r="20" spans="1:32" x14ac:dyDescent="0.2">
      <c r="A20" s="189"/>
      <c r="B20" s="194" t="s">
        <v>70</v>
      </c>
      <c r="C20" s="194"/>
      <c r="D20" s="9">
        <v>4</v>
      </c>
      <c r="E20" s="53">
        <f ca="1">SUMIF($B$16:C20, B20,$D$16:D20)</f>
        <v>4</v>
      </c>
    </row>
    <row r="21" spans="1:32" x14ac:dyDescent="0.2">
      <c r="A21" s="189"/>
      <c r="B21" s="194" t="s">
        <v>20</v>
      </c>
      <c r="C21" s="194"/>
      <c r="D21" s="9">
        <v>12</v>
      </c>
      <c r="E21" s="53">
        <f ca="1">SUMIF($B$16:C21, B21,$D$16:D21)</f>
        <v>15</v>
      </c>
    </row>
    <row r="22" spans="1:32" x14ac:dyDescent="0.2">
      <c r="A22" s="189"/>
      <c r="B22" s="194" t="s">
        <v>12</v>
      </c>
      <c r="C22" s="194"/>
      <c r="D22" s="9">
        <v>14</v>
      </c>
      <c r="E22" s="53">
        <f ca="1">SUMIF($B$16:C22, B22,$D$16:D22)</f>
        <v>14</v>
      </c>
    </row>
    <row r="23" spans="1:32" x14ac:dyDescent="0.2">
      <c r="A23" s="189"/>
      <c r="B23" s="194" t="s">
        <v>17</v>
      </c>
      <c r="C23" s="194"/>
      <c r="D23" s="9">
        <v>12</v>
      </c>
      <c r="E23" s="53">
        <f ca="1">SUMIF($B$16:C23, B23,$D$16:D23)</f>
        <v>12</v>
      </c>
    </row>
    <row r="24" spans="1:32" x14ac:dyDescent="0.2">
      <c r="A24" s="189"/>
      <c r="B24" s="194" t="s">
        <v>11</v>
      </c>
      <c r="C24" s="194"/>
      <c r="D24" s="9">
        <v>1</v>
      </c>
      <c r="E24" s="53">
        <f ca="1">SUMIF($B$16:C24, B24,$D$16:D24)</f>
        <v>1</v>
      </c>
    </row>
    <row r="25" spans="1:32" x14ac:dyDescent="0.2">
      <c r="A25" s="189"/>
      <c r="B25" s="194" t="s">
        <v>17</v>
      </c>
      <c r="C25" s="194"/>
      <c r="D25" s="9">
        <v>2</v>
      </c>
      <c r="E25" s="65">
        <f ca="1">SUMIF($B$16:C25, B25,$D$16:D25)</f>
        <v>14</v>
      </c>
    </row>
    <row r="26" spans="1:32" x14ac:dyDescent="0.2">
      <c r="A26" s="189"/>
      <c r="B26" s="194" t="s">
        <v>11</v>
      </c>
      <c r="C26" s="194"/>
      <c r="D26" s="9">
        <v>18</v>
      </c>
      <c r="E26" s="65">
        <f ca="1">SUMIF($B$16:C26, B26,$D$16:D26)</f>
        <v>19</v>
      </c>
    </row>
    <row r="27" spans="1:32" x14ac:dyDescent="0.2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spans="1:32" x14ac:dyDescent="0.2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spans="1:32" x14ac:dyDescent="0.2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spans="1:32" x14ac:dyDescent="0.2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 x14ac:dyDescent="0.2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 x14ac:dyDescent="0.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 x14ac:dyDescent="0.2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 x14ac:dyDescent="0.2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</sheetData>
  <mergeCells count="14">
    <mergeCell ref="A15:A26"/>
    <mergeCell ref="B25:C25"/>
    <mergeCell ref="B26:C26"/>
    <mergeCell ref="B14:J14"/>
    <mergeCell ref="B23:C23"/>
    <mergeCell ref="B24:C24"/>
    <mergeCell ref="B15:C15"/>
    <mergeCell ref="B17:C17"/>
    <mergeCell ref="B16:C16"/>
    <mergeCell ref="B18:C18"/>
    <mergeCell ref="B19:C19"/>
    <mergeCell ref="B20:C20"/>
    <mergeCell ref="B21:C21"/>
    <mergeCell ref="B22:C22"/>
  </mergeCells>
  <conditionalFormatting sqref="B2:B3">
    <cfRule type="colorScale" priority="4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2:BN3">
    <cfRule type="colorScale" priority="4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2:BO3">
    <cfRule type="colorScale" priority="4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2:BP3">
    <cfRule type="colorScale" priority="4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2:BQ3">
    <cfRule type="colorScale" priority="4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2:BR3">
    <cfRule type="colorScale" priority="4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2:BS3">
    <cfRule type="colorScale" priority="4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2:BT3">
    <cfRule type="colorScale" priority="4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2:BW3 BZ3">
    <cfRule type="colorScale" priority="4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2:BY3 CA2:CB3">
    <cfRule type="colorScale" priority="4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">
    <cfRule type="colorScale" priority="4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">
    <cfRule type="colorScale" priority="4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">
    <cfRule type="colorScale" priority="3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">
    <cfRule type="colorScale" priority="3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9">
    <cfRule type="colorScale" priority="3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A28">
    <cfRule type="colorScale" priority="3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A29">
    <cfRule type="colorScale" priority="3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A30">
    <cfRule type="colorScale" priority="3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A31">
    <cfRule type="colorScale" priority="3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A33">
    <cfRule type="colorScale" priority="3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A34">
    <cfRule type="colorScale" priority="3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28">
    <cfRule type="colorScale" priority="3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29">
    <cfRule type="colorScale" priority="3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30">
    <cfRule type="colorScale" priority="3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31">
    <cfRule type="colorScale" priority="3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33">
    <cfRule type="colorScale" priority="3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34">
    <cfRule type="colorScale" priority="3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28">
    <cfRule type="colorScale" priority="3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29">
    <cfRule type="colorScale" priority="3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30">
    <cfRule type="colorScale" priority="3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31">
    <cfRule type="colorScale" priority="3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33">
    <cfRule type="colorScale" priority="3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34">
    <cfRule type="colorScale" priority="3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28">
    <cfRule type="colorScale" priority="3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29">
    <cfRule type="colorScale" priority="3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0">
    <cfRule type="colorScale" priority="3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1">
    <cfRule type="colorScale" priority="3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3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4">
    <cfRule type="colorScale" priority="3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28">
    <cfRule type="colorScale" priority="3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29">
    <cfRule type="colorScale" priority="3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0">
    <cfRule type="colorScale" priority="3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1">
    <cfRule type="colorScale" priority="3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3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4">
    <cfRule type="colorScale" priority="3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28">
    <cfRule type="colorScale" priority="3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29">
    <cfRule type="colorScale" priority="3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0">
    <cfRule type="colorScale" priority="3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1">
    <cfRule type="colorScale" priority="3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3">
    <cfRule type="colorScale" priority="3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4">
    <cfRule type="colorScale" priority="3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28">
    <cfRule type="colorScale" priority="3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29">
    <cfRule type="colorScale" priority="3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30">
    <cfRule type="colorScale" priority="3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31">
    <cfRule type="colorScale" priority="3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33">
    <cfRule type="colorScale" priority="3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34">
    <cfRule type="colorScale" priority="3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28">
    <cfRule type="colorScale" priority="3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29">
    <cfRule type="colorScale" priority="3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30">
    <cfRule type="colorScale" priority="3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31">
    <cfRule type="colorScale" priority="3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33">
    <cfRule type="colorScale" priority="3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34">
    <cfRule type="colorScale" priority="3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I28">
    <cfRule type="colorScale" priority="3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I29">
    <cfRule type="colorScale" priority="3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I30">
    <cfRule type="colorScale" priority="3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I31">
    <cfRule type="colorScale" priority="3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I33">
    <cfRule type="colorScale" priority="3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I34">
    <cfRule type="colorScale" priority="3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28">
    <cfRule type="colorScale" priority="3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29">
    <cfRule type="colorScale" priority="3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30">
    <cfRule type="colorScale" priority="3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31">
    <cfRule type="colorScale" priority="3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33">
    <cfRule type="colorScale" priority="3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34">
    <cfRule type="colorScale" priority="3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28">
    <cfRule type="colorScale" priority="3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29">
    <cfRule type="colorScale" priority="3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30">
    <cfRule type="colorScale" priority="3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31">
    <cfRule type="colorScale" priority="3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33">
    <cfRule type="colorScale" priority="3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34">
    <cfRule type="colorScale" priority="3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28">
    <cfRule type="colorScale" priority="3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29">
    <cfRule type="colorScale" priority="3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0">
    <cfRule type="colorScale" priority="3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1">
    <cfRule type="colorScale" priority="3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3">
    <cfRule type="colorScale" priority="3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4">
    <cfRule type="colorScale" priority="3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M28">
    <cfRule type="colorScale" priority="3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M29">
    <cfRule type="colorScale" priority="3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M30">
    <cfRule type="colorScale" priority="3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M31">
    <cfRule type="colorScale" priority="3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M33">
    <cfRule type="colorScale" priority="3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M34">
    <cfRule type="colorScale" priority="3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N28">
    <cfRule type="colorScale" priority="3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N29">
    <cfRule type="colorScale" priority="3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N30">
    <cfRule type="colorScale" priority="3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N31">
    <cfRule type="colorScale" priority="3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N33">
    <cfRule type="colorScale" priority="3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N34">
    <cfRule type="colorScale" priority="3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O28">
    <cfRule type="colorScale" priority="3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O29">
    <cfRule type="colorScale" priority="3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O30">
    <cfRule type="colorScale" priority="3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O31">
    <cfRule type="colorScale" priority="3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O33">
    <cfRule type="colorScale" priority="3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O34">
    <cfRule type="colorScale" priority="3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P28">
    <cfRule type="colorScale" priority="3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P29">
    <cfRule type="colorScale" priority="3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P30">
    <cfRule type="colorScale" priority="3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P31">
    <cfRule type="colorScale" priority="3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P33">
    <cfRule type="colorScale" priority="3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P34">
    <cfRule type="colorScale" priority="3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:Q28">
    <cfRule type="colorScale" priority="3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:Q29">
    <cfRule type="colorScale" priority="3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:Q30">
    <cfRule type="colorScale" priority="3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:Q31">
    <cfRule type="colorScale" priority="3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:Q33">
    <cfRule type="colorScale" priority="3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:Q34">
    <cfRule type="colorScale" priority="3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:R28">
    <cfRule type="colorScale" priority="3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:R29">
    <cfRule type="colorScale" priority="3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:R30">
    <cfRule type="colorScale" priority="3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:R31">
    <cfRule type="colorScale" priority="3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:R33">
    <cfRule type="colorScale" priority="3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:R34">
    <cfRule type="colorScale" priority="3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:S28">
    <cfRule type="colorScale" priority="3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:S29">
    <cfRule type="colorScale" priority="3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:S30">
    <cfRule type="colorScale" priority="3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:S31">
    <cfRule type="colorScale" priority="3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:S33">
    <cfRule type="colorScale" priority="3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:S34">
    <cfRule type="colorScale" priority="3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:T28">
    <cfRule type="colorScale" priority="3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:T29">
    <cfRule type="colorScale" priority="3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:T30">
    <cfRule type="colorScale" priority="3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:T31">
    <cfRule type="colorScale" priority="3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:T33">
    <cfRule type="colorScale" priority="3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:T34">
    <cfRule type="colorScale" priority="3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:U28">
    <cfRule type="colorScale" priority="3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:U29">
    <cfRule type="colorScale" priority="3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:U30">
    <cfRule type="colorScale" priority="3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:U31">
    <cfRule type="colorScale" priority="3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:U33">
    <cfRule type="colorScale" priority="3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:U34">
    <cfRule type="colorScale" priority="3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:V28">
    <cfRule type="colorScale" priority="3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:V29">
    <cfRule type="colorScale" priority="3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:V30">
    <cfRule type="colorScale" priority="3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:V31">
    <cfRule type="colorScale" priority="3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:V33">
    <cfRule type="colorScale" priority="3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:V34">
    <cfRule type="colorScale" priority="3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:W28">
    <cfRule type="colorScale" priority="3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:W29">
    <cfRule type="colorScale" priority="3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:W30">
    <cfRule type="colorScale" priority="3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:W31">
    <cfRule type="colorScale" priority="3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:W33">
    <cfRule type="colorScale" priority="3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:W34">
    <cfRule type="colorScale" priority="3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7:X28">
    <cfRule type="colorScale" priority="3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7:X29">
    <cfRule type="colorScale" priority="3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7:X30">
    <cfRule type="colorScale" priority="3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7:X31">
    <cfRule type="colorScale" priority="3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7:X33">
    <cfRule type="colorScale" priority="3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7:X34">
    <cfRule type="colorScale" priority="3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28">
    <cfRule type="colorScale" priority="3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29">
    <cfRule type="colorScale" priority="3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0">
    <cfRule type="colorScale" priority="3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1">
    <cfRule type="colorScale" priority="3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3">
    <cfRule type="colorScale" priority="3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4">
    <cfRule type="colorScale" priority="3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:Z28">
    <cfRule type="colorScale" priority="3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:Z29">
    <cfRule type="colorScale" priority="3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:Z30">
    <cfRule type="colorScale" priority="3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:Z31">
    <cfRule type="colorScale" priority="3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:Z33">
    <cfRule type="colorScale" priority="3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:Z34">
    <cfRule type="colorScale" priority="3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:AA28">
    <cfRule type="colorScale" priority="3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:AA29">
    <cfRule type="colorScale" priority="3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:AA30">
    <cfRule type="colorScale" priority="3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:AA31">
    <cfRule type="colorScale" priority="3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:AA33">
    <cfRule type="colorScale" priority="3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:AA34">
    <cfRule type="colorScale" priority="3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:AB28">
    <cfRule type="colorScale" priority="3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:AB29">
    <cfRule type="colorScale" priority="3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:AB30">
    <cfRule type="colorScale" priority="3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:AB31">
    <cfRule type="colorScale" priority="3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:AB33">
    <cfRule type="colorScale" priority="3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:AB34">
    <cfRule type="colorScale" priority="3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:AC28">
    <cfRule type="colorScale" priority="3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:AC29">
    <cfRule type="colorScale" priority="3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:AC30">
    <cfRule type="colorScale" priority="3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:AC31">
    <cfRule type="colorScale" priority="3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:AC33">
    <cfRule type="colorScale" priority="3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:AC34">
    <cfRule type="colorScale" priority="3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7:AD28">
    <cfRule type="colorScale" priority="3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7:AD29">
    <cfRule type="colorScale" priority="3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7:AD30">
    <cfRule type="colorScale" priority="3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7:AD31">
    <cfRule type="colorScale" priority="3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7:AD33">
    <cfRule type="colorScale" priority="3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7:AD34">
    <cfRule type="colorScale" priority="3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:AE28">
    <cfRule type="colorScale" priority="3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:AE29">
    <cfRule type="colorScale" priority="3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:AE30">
    <cfRule type="colorScale" priority="3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:AE31">
    <cfRule type="colorScale" priority="3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:AE33">
    <cfRule type="colorScale" priority="3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:AE34">
    <cfRule type="colorScale" priority="3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:AF28">
    <cfRule type="colorScale" priority="3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:AF29">
    <cfRule type="colorScale" priority="3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:AF30">
    <cfRule type="colorScale" priority="3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:AF31">
    <cfRule type="colorScale" priority="3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:AF33">
    <cfRule type="colorScale" priority="3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:AF34">
    <cfRule type="colorScale" priority="3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">
    <cfRule type="colorScale" priority="2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1">
    <cfRule type="colorScale" priority="2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2">
    <cfRule type="colorScale" priority="2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">
    <cfRule type="colorScale" priority="2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">
    <cfRule type="colorScale" priority="2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">
    <cfRule type="colorScale" priority="2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">
    <cfRule type="colorScale" priority="2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8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">
    <cfRule type="colorScale" priority="2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">
    <cfRule type="colorScale" priority="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2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2">
    <cfRule type="colorScale" priority="2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3">
    <cfRule type="colorScale" priority="1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3">
    <cfRule type="colorScale" priority="1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3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3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13">
    <cfRule type="colorScale" priority="1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8">
    <cfRule type="colorScale" priority="1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">
    <cfRule type="colorScale" priority="1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">
    <cfRule type="colorScale" priority="1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">
    <cfRule type="colorScale" priority="1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2">
    <cfRule type="colorScale" priority="1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">
    <cfRule type="colorScale" priority="1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">
    <cfRule type="colorScale" priority="1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8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1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1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3">
    <cfRule type="colorScale" priority="1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3">
    <cfRule type="colorScale" priority="1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13">
    <cfRule type="colorScale" priority="1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">
    <cfRule type="colorScale" priority="1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">
    <cfRule type="colorScale" priority="1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6">
    <cfRule type="colorScale" priority="1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8">
    <cfRule type="colorScale" priority="1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">
    <cfRule type="colorScale" priority="1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2">
    <cfRule type="colorScale" priority="1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6">
    <cfRule type="colorScale" priority="1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8"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1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">
    <cfRule type="colorScale" priority="1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3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3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13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6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8"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">
    <cfRule type="colorScale" priority="1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">
    <cfRule type="colorScale" priority="1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1">
    <cfRule type="colorScale" priority="1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2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">
    <cfRule type="colorScale" priority="1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">
    <cfRule type="colorScale" priority="1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8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1">
    <cfRule type="colorScale" priority="1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3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1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3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13">
    <cfRule type="colorScale" priority="1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">
    <cfRule type="colorScale" priority="1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">
    <cfRule type="colorScale" priority="1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6">
    <cfRule type="colorScale" priority="1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8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">
    <cfRule type="colorScale" priority="1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1">
    <cfRule type="colorScale" priority="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2">
    <cfRule type="colorScale" priority="1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8">
    <cfRule type="colorScale" priority="1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">
    <cfRule type="colorScale" priority="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3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3">
    <cfRule type="colorScale" priority="1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13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">
    <cfRule type="colorScale" priority="1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8">
    <cfRule type="colorScale" priority="1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1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2">
    <cfRule type="colorScale" priority="1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">
    <cfRule type="colorScale" priority="1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8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1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1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1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3">
    <cfRule type="colorScale" priority="1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3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3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13">
    <cfRule type="colorScale" priority="1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">
    <cfRule type="colorScale" priority="1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">
    <cfRule type="colorScale" priority="1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6">
    <cfRule type="colorScale" priority="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8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">
    <cfRule type="colorScale" priority="1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">
    <cfRule type="colorScale" priority="1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1">
    <cfRule type="colorScale" priority="1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1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6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8">
    <cfRule type="colorScale" priority="1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1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3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3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3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3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S13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6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8">
    <cfRule type="colorScale" priority="1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">
    <cfRule type="colorScale" priority="1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">
    <cfRule type="colorScale" priority="1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1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2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4">
    <cfRule type="colorScale" priority="1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5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6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8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">
    <cfRule type="colorScale" priority="1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1">
    <cfRule type="colorScale" priority="1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2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13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3">
    <cfRule type="colorScale" priority="1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3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3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U13">
    <cfRule type="colorScale" priority="1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4">
    <cfRule type="colorScale" priority="1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5">
    <cfRule type="colorScale" priority="1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6">
    <cfRule type="colorScale" priority="1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8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">
    <cfRule type="colorScale" priority="1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1">
    <cfRule type="colorScale" priority="1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2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4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5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6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8">
    <cfRule type="colorScale" priority="1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">
    <cfRule type="colorScale" priority="1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1">
    <cfRule type="colorScale" priority="1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2">
    <cfRule type="colorScale" priority="1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3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13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3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3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W13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4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5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6"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8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1">
    <cfRule type="colorScale" priority="1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2">
    <cfRule type="colorScale" priority="1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3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4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5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6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8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1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2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13">
    <cfRule type="colorScale" priority="1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3">
    <cfRule type="colorScale" priority="1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3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3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Y13">
    <cfRule type="colorScale" priority="1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3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4">
    <cfRule type="colorScale" priority="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5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6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8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9"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">
    <cfRule type="colorScale" priority="1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1">
    <cfRule type="colorScale" priority="1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2">
    <cfRule type="colorScale" priority="1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3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4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5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6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8">
    <cfRule type="colorScale" priority="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1">
    <cfRule type="colorScale" priority="1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2">
    <cfRule type="colorScale" priority="1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3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13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3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3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AA13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3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4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5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6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8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9"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1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2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3">
    <cfRule type="colorScale" priority="1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4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5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6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8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1">
    <cfRule type="colorScale" priority="1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2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3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13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3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3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C13">
    <cfRule type="colorScale" priority="1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4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5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6">
    <cfRule type="colorScale" priority="1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8">
    <cfRule type="colorScale" priority="1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1">
    <cfRule type="colorScale" priority="1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2">
    <cfRule type="colorScale" priority="1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4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5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6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8">
    <cfRule type="colorScale" priority="1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1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2">
    <cfRule type="colorScale" priority="1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13">
    <cfRule type="colorScale" priority="1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3">
    <cfRule type="colorScale" priority="1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3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3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E13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3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4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5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6">
    <cfRule type="colorScale" priority="1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8">
    <cfRule type="colorScale" priority="1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">
    <cfRule type="colorScale" priority="1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">
    <cfRule type="colorScale" priority="1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1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2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3">
    <cfRule type="colorScale" priority="1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4">
    <cfRule type="colorScale" priority="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5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6">
    <cfRule type="colorScale" priority="1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8">
    <cfRule type="colorScale" priority="1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">
    <cfRule type="colorScale" priority="1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">
    <cfRule type="colorScale" priority="1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1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2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13">
    <cfRule type="colorScale" priority="1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13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3">
    <cfRule type="colorScale" priority="1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3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G13"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3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4">
    <cfRule type="colorScale" priority="1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5">
    <cfRule type="colorScale" priority="1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6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8">
    <cfRule type="colorScale" priority="1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9">
    <cfRule type="colorScale" priority="1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0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1">
    <cfRule type="colorScale" priority="1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2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4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5">
    <cfRule type="colorScale" priority="1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6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8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9">
    <cfRule type="colorScale" priority="1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">
    <cfRule type="colorScale" priority="1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1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2">
    <cfRule type="colorScale" priority="1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13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3">
    <cfRule type="colorScale" priority="1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3"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I13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3">
    <cfRule type="colorScale" priority="1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4">
    <cfRule type="colorScale" priority="1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5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6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8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9">
    <cfRule type="colorScale" priority="1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0">
    <cfRule type="colorScale" priority="1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1">
    <cfRule type="colorScale" priority="1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2">
    <cfRule type="colorScale" priority="1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3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4">
    <cfRule type="colorScale" priority="1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5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6">
    <cfRule type="colorScale" priority="1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8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9">
    <cfRule type="colorScale" priority="1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0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1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2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3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3">
    <cfRule type="colorScale" priority="1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3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3"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K13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4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5">
    <cfRule type="colorScale" priority="1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6">
    <cfRule type="colorScale" priority="1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8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9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1">
    <cfRule type="colorScale" priority="1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2">
    <cfRule type="colorScale" priority="1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">
    <cfRule type="colorScale" priority="1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4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5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6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8">
    <cfRule type="colorScale" priority="1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9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">
    <cfRule type="colorScale" priority="1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1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2">
    <cfRule type="colorScale" priority="1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:AL13">
    <cfRule type="colorScale" priority="1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:AM13">
    <cfRule type="colorScale" priority="1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M13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">
    <cfRule type="colorScale" priority="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 BH2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 BH2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 BH2 BH6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 BH2 BH6:BH8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 BH2 BH6:BH9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 BH2 BH6:BH10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 BH2 BH6:BH11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 BH2 BH6:BH12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3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4">
    <cfRule type="colorScale" priority="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4">
    <cfRule type="colorScale" priority="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4 BI6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4 BI6:BI8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4 BI6:BI9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4 BI6:BI10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4 BI6:BI11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4 BI6:BI12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6:BH13 BH4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:BI4 BI6:BI13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 BH2 BH6:BH13">
    <cfRule type="colorScale" priority="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4 BI6:BI13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:BI2 BH4:BI4 BI3 BH6:BI13">
    <cfRule type="colorScale" priority="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3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4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4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4 BJ6">
    <cfRule type="colorScale" priority="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4 BJ6:BJ8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4 BJ6:BJ9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4 BJ6:BJ10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4 BJ6:BJ11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4 BJ6:BJ12">
    <cfRule type="colorScale" priority="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:BK3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:BK4">
    <cfRule type="colorScale" priority="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:BK5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:BK6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:BK8">
    <cfRule type="colorScale" priority="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:BK9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:BK10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:BK11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:BK12"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3:BJ4 BJ6:BJ13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3:BK13"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4 BJ6:BJ13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:BK13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K4 BJ6:BK13 BK5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2:BL3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2:BL4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2:BL5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2:BL6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2:BL8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2:BL9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2:BL10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2:BL11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2:BL12">
    <cfRule type="colorScale" priority="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M3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M4">
    <cfRule type="colorScale" priority="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M5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M6">
    <cfRule type="colorScale" priority="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M8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M9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M10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M11"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M12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3:BL13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:BM13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2:BL13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M13"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2:BM13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2:BX3 CA2:CA3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2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2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8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2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3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3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">
    <cfRule type="colorScale" priority="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">
    <cfRule type="colorScale" priority="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6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8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3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">
    <cfRule type="colorScale" priority="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6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8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3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8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2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3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3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3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8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2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3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3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8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8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4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5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6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8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9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0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1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3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3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4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5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6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9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0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1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3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3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4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5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6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8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9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1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2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3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3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3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4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5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6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8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9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0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1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2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3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3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4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5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6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8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9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1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2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:AP13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3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4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5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6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8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9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1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2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:AP13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3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4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5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6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8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9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1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2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:AQ13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3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4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8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1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2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:AQ13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3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4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6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8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9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0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1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2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13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3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3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3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4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5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6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8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9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0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1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2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13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3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3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4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5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6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8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9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0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1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2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13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3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3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3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4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5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6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8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9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0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1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2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13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3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3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4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5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6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8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9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0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1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2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13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3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3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3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4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5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6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8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9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0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2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13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3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3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4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5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6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8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9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0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1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2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13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3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3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3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4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5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6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8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9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0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1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2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13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3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3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4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5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6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8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9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0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1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2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13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3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3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3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4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5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6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8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9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0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1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2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13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3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3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4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5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6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8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9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0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1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2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:AW13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3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3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3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4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5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6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8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9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0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1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2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:AW13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3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3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4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5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6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8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9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1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2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:AX13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3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3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3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4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5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6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8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9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0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1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2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:AX13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3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3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4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5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6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8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9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0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1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2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:AY13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3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3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3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4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5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6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8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9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0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1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2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:AY13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3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3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4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5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6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8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9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0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1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2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:AZ13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3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3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3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4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5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6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8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9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0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1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2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:AZ13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3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3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4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5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8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9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0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1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2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:BA13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3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3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3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4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5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6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8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9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0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1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2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:BA13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3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3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4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5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6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8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9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10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11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12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:BB13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13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13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3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4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5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6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8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9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10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11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12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:BB13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13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3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4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5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6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8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9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10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11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12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:BC13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13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13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3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4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5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6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8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9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10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11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12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:BC13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13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3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5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6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8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9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10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11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12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:BD13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13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13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3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4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5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6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8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9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10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11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12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:BD13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13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3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4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5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6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8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10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11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12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:BE13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13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13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3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4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5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8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9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10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11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12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:BE13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13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 BF2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:BF5 BF2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:BF6 BF2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:BF8 BF2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:BF9 BF2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:BF10 BF2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:BF11 BF2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:BF12 BF2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:BF13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:BF13 BF2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:BF13 BF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 BF2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:BF5 BF2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:BF6 BF2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:BF8 BF2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:BF9 BF2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:BF10 BF2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:BF11 BF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:BF12 BF2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:BF13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:BF13 BF2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 BG2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 BG2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 BG2 BG6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 BG2 BG6:BG8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 BG2 BG6:BG9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 BG2 BG6:BG10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 BG2 BG6:BG11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 BG2 BG6:BG12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6:BG13 BG4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 BG2 BG6:BG13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 BG2 BG6:BG13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 BG2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 BG2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 BG2 BG6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 BG2 BG6:BG8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 BG2 BG6:BG9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 BG2 BG6:BG10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 BG2 BG6:BG11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 BG2 BG6:BG12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6:BG13 BG4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 BG2 BG6:BG13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2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2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2 BY2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2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5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5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5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5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5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5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5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5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5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5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5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5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5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5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5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5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5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F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:BG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:BH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13</vt:i4>
      </vt:variant>
    </vt:vector>
  </HeadingPairs>
  <TitlesOfParts>
    <vt:vector size="27" baseType="lpstr">
      <vt:lpstr>Data</vt:lpstr>
      <vt:lpstr>Timeline</vt:lpstr>
      <vt:lpstr>Ranking</vt:lpstr>
      <vt:lpstr>Main Stats</vt:lpstr>
      <vt:lpstr>By Date</vt:lpstr>
      <vt:lpstr>Decades</vt:lpstr>
      <vt:lpstr>Graph Decades</vt:lpstr>
      <vt:lpstr>By Year</vt:lpstr>
      <vt:lpstr>By Tournament</vt:lpstr>
      <vt:lpstr>By Age</vt:lpstr>
      <vt:lpstr>A1</vt:lpstr>
      <vt:lpstr>F1</vt:lpstr>
      <vt:lpstr>W1</vt:lpstr>
      <vt:lpstr>U1</vt:lpstr>
      <vt:lpstr>Date</vt:lpstr>
      <vt:lpstr>1970s</vt:lpstr>
      <vt:lpstr>1980s</vt:lpstr>
      <vt:lpstr>1990s</vt:lpstr>
      <vt:lpstr>2000s</vt:lpstr>
      <vt:lpstr>2010s</vt:lpstr>
      <vt:lpstr>Year</vt:lpstr>
      <vt:lpstr>Tournament</vt:lpstr>
      <vt:lpstr>Age</vt:lpstr>
      <vt:lpstr>Australian</vt:lpstr>
      <vt:lpstr>Roland Garros</vt:lpstr>
      <vt:lpstr>Wimbledon</vt:lpstr>
      <vt:lpstr>US 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2018-07-09T22:25:50Z</dcterms:created>
  <dcterms:modified xsi:type="dcterms:W3CDTF">2024-08-23T16:36:34Z</dcterms:modified>
</cp:coreProperties>
</file>