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ecumbi/Desktop/"/>
    </mc:Choice>
  </mc:AlternateContent>
  <xr:revisionPtr revIDLastSave="0" documentId="13_ncr:1_{E4F9407B-7BEC-2047-A8EB-96DEB0F09CCA}" xr6:coauthVersionLast="47" xr6:coauthVersionMax="47" xr10:uidLastSave="{00000000-0000-0000-0000-000000000000}"/>
  <bookViews>
    <workbookView xWindow="380" yWindow="460" windowWidth="28040" windowHeight="16320" xr2:uid="{67A5855F-630A-4943-B3A3-305A258C7895}"/>
  </bookViews>
  <sheets>
    <sheet name="Vanila IRS Valuation" sheetId="1" r:id="rId1"/>
    <sheet name="CDS Valuation" sheetId="2" r:id="rId2"/>
  </sheets>
  <definedNames>
    <definedName name="_xlchart.v2.0" hidden="1">'Vanila IRS Valuation'!$C$14:$C$17</definedName>
    <definedName name="_xlchart.v2.1" hidden="1">'Vanila IRS Valuation'!$D$14:$D$17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E40" i="1"/>
  <c r="K36" i="1"/>
  <c r="J36" i="1"/>
  <c r="E36" i="1"/>
  <c r="E39" i="1"/>
  <c r="Y21" i="2"/>
  <c r="Y22" i="2"/>
  <c r="Y23" i="2"/>
  <c r="Y24" i="2"/>
  <c r="Y20" i="2"/>
  <c r="V21" i="2"/>
  <c r="V22" i="2"/>
  <c r="V23" i="2"/>
  <c r="V24" i="2"/>
  <c r="V20" i="2"/>
  <c r="S20" i="2"/>
  <c r="Q20" i="2"/>
  <c r="R20" i="2" s="1"/>
  <c r="S21" i="2"/>
  <c r="S22" i="2"/>
  <c r="S23" i="2"/>
  <c r="S24" i="2"/>
  <c r="D20" i="2"/>
  <c r="J21" i="2" s="1"/>
  <c r="K21" i="2"/>
  <c r="K23" i="2"/>
  <c r="K25" i="2"/>
  <c r="K27" i="2"/>
  <c r="K19" i="2"/>
  <c r="D22" i="2"/>
  <c r="J23" i="2" s="1"/>
  <c r="D24" i="2"/>
  <c r="D26" i="2"/>
  <c r="J27" i="2" s="1"/>
  <c r="L27" i="2" s="1"/>
  <c r="M27" i="2" s="1"/>
  <c r="D28" i="2"/>
  <c r="C22" i="2"/>
  <c r="C24" i="2"/>
  <c r="C26" i="2"/>
  <c r="C28" i="2"/>
  <c r="E28" i="2" s="1"/>
  <c r="C20" i="2"/>
  <c r="G39" i="1"/>
  <c r="F39" i="1"/>
  <c r="F31" i="1"/>
  <c r="G31" i="1"/>
  <c r="G40" i="1" s="1"/>
  <c r="E31" i="1"/>
  <c r="X20" i="2" l="1"/>
  <c r="Z20" i="2" s="1"/>
  <c r="E20" i="2"/>
  <c r="U20" i="2"/>
  <c r="W20" i="2" s="1"/>
  <c r="Q21" i="2"/>
  <c r="E26" i="2"/>
  <c r="J19" i="2"/>
  <c r="E22" i="2"/>
  <c r="E29" i="2" s="1"/>
  <c r="G23" i="2"/>
  <c r="L23" i="2"/>
  <c r="M23" i="2" s="1"/>
  <c r="G21" i="2"/>
  <c r="H21" i="2" s="1"/>
  <c r="L21" i="2"/>
  <c r="M21" i="2" s="1"/>
  <c r="E24" i="2"/>
  <c r="J25" i="2"/>
  <c r="G27" i="2"/>
  <c r="H27" i="2" s="1"/>
  <c r="H23" i="2"/>
  <c r="F40" i="1"/>
  <c r="I37" i="1"/>
  <c r="I40" i="1"/>
  <c r="G19" i="2" l="1"/>
  <c r="H19" i="2" s="1"/>
  <c r="L19" i="2"/>
  <c r="M19" i="2" s="1"/>
  <c r="X21" i="2"/>
  <c r="Z21" i="2" s="1"/>
  <c r="U21" i="2"/>
  <c r="W21" i="2" s="1"/>
  <c r="R21" i="2"/>
  <c r="L25" i="2"/>
  <c r="M25" i="2" s="1"/>
  <c r="G25" i="2"/>
  <c r="H25" i="2" s="1"/>
  <c r="I41" i="1"/>
  <c r="J41" i="1" s="1"/>
  <c r="J40" i="1"/>
  <c r="Q22" i="2" l="1"/>
  <c r="R22" i="2"/>
  <c r="Q23" i="2" s="1"/>
  <c r="H29" i="2"/>
  <c r="H33" i="2" s="1"/>
  <c r="T20" i="2"/>
  <c r="M29" i="2"/>
  <c r="H34" i="2" s="1"/>
  <c r="R23" i="2" l="1"/>
  <c r="Q24" i="2" s="1"/>
  <c r="X23" i="2"/>
  <c r="Z23" i="2" s="1"/>
  <c r="U23" i="2"/>
  <c r="W23" i="2" s="1"/>
  <c r="H36" i="2"/>
  <c r="H38" i="2" s="1"/>
  <c r="X22" i="2"/>
  <c r="Z22" i="2" s="1"/>
  <c r="U22" i="2"/>
  <c r="W22" i="2" s="1"/>
  <c r="H30" i="2"/>
  <c r="T21" i="2"/>
  <c r="Z25" i="2" l="1"/>
  <c r="U32" i="2" s="1"/>
  <c r="R24" i="2"/>
  <c r="X24" i="2"/>
  <c r="Z24" i="2" s="1"/>
  <c r="U24" i="2"/>
  <c r="W24" i="2" s="1"/>
  <c r="W25" i="2" s="1"/>
  <c r="T22" i="2"/>
  <c r="T24" i="2" l="1"/>
  <c r="T23" i="2"/>
  <c r="T25" i="2" l="1"/>
  <c r="U33" i="2" s="1"/>
  <c r="U34" i="2"/>
  <c r="U35" i="2" s="1"/>
</calcChain>
</file>

<file path=xl/sharedStrings.xml><?xml version="1.0" encoding="utf-8"?>
<sst xmlns="http://schemas.openxmlformats.org/spreadsheetml/2006/main" count="72" uniqueCount="62">
  <si>
    <t>Interest rate swap valuation:</t>
  </si>
  <si>
    <t>LIBOR</t>
  </si>
  <si>
    <t xml:space="preserve">London Inter-Bank Offered Rate </t>
  </si>
  <si>
    <t xml:space="preserve">Hull Example 7.2 ( 9th Edition): Suppose that some time ago a bank agreed to recieve 6-month LIBOR and pay 3% per annum (with semiannual compounding) on a notional of $100 million. </t>
  </si>
  <si>
    <t>The swap has a remaining life of 1.25 years. The LIBOR rates with continous compounding for 3-months, 9-months, and 15-months maturities are 2.8%,3.2%, and 3.4%, respectively. The 6-month LIBOR rate at the last payment date was 2.9% (with semiannual compounding).</t>
  </si>
  <si>
    <t>What is the value of the swap?</t>
  </si>
  <si>
    <t>Assumptions</t>
  </si>
  <si>
    <t>Notional ($MM)</t>
  </si>
  <si>
    <t>Fixed rate</t>
  </si>
  <si>
    <t>LIBOR at last coupon (s.a)</t>
  </si>
  <si>
    <t>Time (years)</t>
  </si>
  <si>
    <t>PV</t>
  </si>
  <si>
    <t>Discount Factor</t>
  </si>
  <si>
    <t>Value Interest Rate Swap as Two Bonds</t>
  </si>
  <si>
    <t>Floating Cash Flows</t>
  </si>
  <si>
    <t>Future Value (FV)</t>
  </si>
  <si>
    <t>Present Value(PV)</t>
  </si>
  <si>
    <t>Fixed Cash Flows</t>
  </si>
  <si>
    <t xml:space="preserve">                  Net Value</t>
  </si>
  <si>
    <t>Times(years)</t>
  </si>
  <si>
    <t xml:space="preserve">                  LIBOR</t>
  </si>
  <si>
    <t>Assumptions:</t>
  </si>
  <si>
    <t xml:space="preserve">Notional </t>
  </si>
  <si>
    <t>Risk Free Rate</t>
  </si>
  <si>
    <t>Probality of Default</t>
  </si>
  <si>
    <t>Recovery rate</t>
  </si>
  <si>
    <t>PV of Payments</t>
  </si>
  <si>
    <t>=</t>
  </si>
  <si>
    <t>PV of Payoffs</t>
  </si>
  <si>
    <t>PAYMENT</t>
  </si>
  <si>
    <t>Prob of Survival</t>
  </si>
  <si>
    <t>PV of Exp Payment</t>
  </si>
  <si>
    <t>Expected Payments</t>
  </si>
  <si>
    <t>Expected Accrual</t>
  </si>
  <si>
    <r>
      <rPr>
        <b/>
        <sz val="14"/>
        <color theme="1"/>
        <rFont val="Calibri"/>
        <family val="2"/>
        <scheme val="minor"/>
      </rPr>
      <t>Payments</t>
    </r>
    <r>
      <rPr>
        <sz val="14"/>
        <color theme="1"/>
        <rFont val="Calibri"/>
        <family val="2"/>
        <scheme val="minor"/>
      </rPr>
      <t xml:space="preserve"> by the CDS Buyer (buyer of protection)</t>
    </r>
  </si>
  <si>
    <t>PV of Exp Accrual</t>
  </si>
  <si>
    <r>
      <rPr>
        <b/>
        <sz val="14"/>
        <color theme="1"/>
        <rFont val="Calibri"/>
        <family val="2"/>
        <scheme val="minor"/>
      </rPr>
      <t>Payoffs</t>
    </r>
    <r>
      <rPr>
        <sz val="14"/>
        <color theme="1"/>
        <rFont val="Calibri"/>
        <family val="2"/>
        <scheme val="minor"/>
      </rPr>
      <t xml:space="preserve"> by the CDS Seller(protection seller</t>
    </r>
  </si>
  <si>
    <t>EXP PAYOFF</t>
  </si>
  <si>
    <t>Default prob</t>
  </si>
  <si>
    <t xml:space="preserve">% of Notional </t>
  </si>
  <si>
    <t>PV of:</t>
  </si>
  <si>
    <r>
      <t xml:space="preserve">Payments made at rates of </t>
    </r>
    <r>
      <rPr>
        <b/>
        <sz val="12"/>
        <color theme="1"/>
        <rFont val="Calibri"/>
        <family val="2"/>
        <scheme val="minor"/>
      </rPr>
      <t>s per year</t>
    </r>
  </si>
  <si>
    <t>Total</t>
  </si>
  <si>
    <t>Exp. Payments</t>
  </si>
  <si>
    <t>Exp. Payoffs</t>
  </si>
  <si>
    <t>Solve spread(s)</t>
  </si>
  <si>
    <t>Spread(s)</t>
  </si>
  <si>
    <t>Basis Points</t>
  </si>
  <si>
    <t xml:space="preserve">        Time(years)</t>
  </si>
  <si>
    <t>discount factor</t>
  </si>
  <si>
    <t>DCF(swap rate default)</t>
  </si>
  <si>
    <t>Prob of default</t>
  </si>
  <si>
    <t>swap rate given  default(midYear)</t>
  </si>
  <si>
    <t>DCF(swap rate given default)</t>
  </si>
  <si>
    <t>Payble         (given default)</t>
  </si>
  <si>
    <t>DCF(payable given default)</t>
  </si>
  <si>
    <t>Excepted received premium</t>
  </si>
  <si>
    <t>Excepted payable DCF</t>
  </si>
  <si>
    <t>Equi;ibrium swap rate, bps</t>
  </si>
  <si>
    <t>Excepted payoffs</t>
  </si>
  <si>
    <t>Results:</t>
  </si>
  <si>
    <t>Time(years)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</si>
</sst>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 * #,##0.00_)\ &quot;PLN&quot;_ ;_ * \(#,##0.00\)\ &quot;PLN&quot;_ ;_ * &quot;-&quot;??_)\ &quot;PLN&quot;_ ;_ @_ "/>
    <numFmt numFmtId="43" formatCode="_ * #,##0.00_)_ ;_ * \(#,##0.00\)_ ;_ * &quot;-&quot;??_)_ ;_ @_ "/>
    <numFmt numFmtId="165" formatCode="0.000"/>
    <numFmt numFmtId="167" formatCode="_ * #,##0.0_)_ ;_ * \(#,##0.0\)_ ;_ * &quot;-&quot;??_)_ ;_ @_ "/>
    <numFmt numFmtId="168" formatCode="_ * #,##0_)_ ;_ * \(#,##0\)_ ;_ * &quot;-&quot;??_)_ ;_ @_ "/>
    <numFmt numFmtId="169" formatCode="0.0%"/>
    <numFmt numFmtId="173" formatCode="_ * #,##0.00_)\ &quot;PLN&quot;_ ;_ * \(#,##0.00\)\ &quot;PLN&quot;_ ;_ * &quot;-&quot;???_)\ &quot;PLN&quot;_ ;_ @_ "/>
    <numFmt numFmtId="179" formatCode="_ * #,##0_)\ &quot;PLN&quot;_ ;_ * \(#,##0\)\ &quot;PLN&quot;_ ;_ * &quot;-&quot;??_)\ &quot;PLN&quot;_ ;_ @_ "/>
    <numFmt numFmtId="183" formatCode="0.0000"/>
    <numFmt numFmtId="184" formatCode="_ * #,##0.00_)\ _P_L_N_ ;_ * \(#,##0.00\)\ _P_L_N_ ;_ * &quot;-&quot;??_)\ _P_L_N_ ;_ @_ "/>
    <numFmt numFmtId="185" formatCode="_ * #,##0.000_)\ _P_L_N_ ;_ * \(#,##0.000\)\ _P_L_N_ ;_ * &quot;-&quot;??_)\ _P_L_N_ ;_ @_ "/>
    <numFmt numFmtId="188" formatCode="_ * #,##0.00_)\ _P_L_N_ ;_ * \(#,##0.00\)\ _P_L_N_ ;_ * &quot;-&quot;???_)\ _P_L_N_ ;_ @_ "/>
    <numFmt numFmtId="190" formatCode="_ * #,##0.0000_)\ _P_L_N_ ;_ * \(#,##0.0000\)\ _P_L_N_ ;_ * &quot;-&quot;????_)\ _P_L_N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2" fontId="0" fillId="0" borderId="0" xfId="0" applyNumberFormat="1"/>
    <xf numFmtId="43" fontId="0" fillId="0" borderId="0" xfId="1" applyFont="1"/>
    <xf numFmtId="165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2" fillId="0" borderId="3" xfId="0" applyFont="1" applyBorder="1"/>
    <xf numFmtId="43" fontId="2" fillId="0" borderId="3" xfId="1" applyFont="1" applyBorder="1"/>
    <xf numFmtId="0" fontId="0" fillId="0" borderId="3" xfId="0" applyBorder="1"/>
    <xf numFmtId="0" fontId="3" fillId="0" borderId="3" xfId="0" applyFont="1" applyBorder="1"/>
    <xf numFmtId="0" fontId="0" fillId="0" borderId="3" xfId="0" applyFont="1" applyBorder="1"/>
    <xf numFmtId="0" fontId="0" fillId="2" borderId="0" xfId="0" applyFill="1"/>
    <xf numFmtId="169" fontId="0" fillId="3" borderId="0" xfId="1" applyNumberFormat="1" applyFont="1" applyFill="1" applyAlignment="1">
      <alignment horizontal="right"/>
    </xf>
    <xf numFmtId="0" fontId="5" fillId="0" borderId="3" xfId="0" applyFont="1" applyBorder="1"/>
    <xf numFmtId="0" fontId="5" fillId="2" borderId="0" xfId="0" applyFont="1" applyFill="1"/>
    <xf numFmtId="0" fontId="3" fillId="4" borderId="3" xfId="0" applyFont="1" applyFill="1" applyBorder="1"/>
    <xf numFmtId="0" fontId="3" fillId="5" borderId="3" xfId="0" applyFont="1" applyFill="1" applyBorder="1"/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168" fontId="0" fillId="3" borderId="0" xfId="1" applyNumberFormat="1" applyFont="1" applyFill="1" applyAlignment="1">
      <alignment horizontal="left"/>
    </xf>
    <xf numFmtId="44" fontId="0" fillId="0" borderId="0" xfId="0" applyNumberFormat="1"/>
    <xf numFmtId="173" fontId="0" fillId="0" borderId="3" xfId="0" applyNumberFormat="1" applyBorder="1"/>
    <xf numFmtId="173" fontId="2" fillId="0" borderId="3" xfId="0" applyNumberFormat="1" applyFont="1" applyBorder="1"/>
    <xf numFmtId="169" fontId="0" fillId="3" borderId="0" xfId="1" applyNumberFormat="1" applyFont="1" applyFill="1"/>
    <xf numFmtId="173" fontId="0" fillId="0" borderId="0" xfId="0" applyNumberFormat="1"/>
    <xf numFmtId="173" fontId="2" fillId="0" borderId="0" xfId="0" applyNumberFormat="1" applyFont="1"/>
    <xf numFmtId="44" fontId="2" fillId="0" borderId="0" xfId="0" applyNumberFormat="1" applyFont="1"/>
    <xf numFmtId="0" fontId="0" fillId="0" borderId="0" xfId="0"/>
    <xf numFmtId="169" fontId="0" fillId="0" borderId="0" xfId="2" applyNumberFormat="1" applyFont="1"/>
    <xf numFmtId="179" fontId="2" fillId="5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6" borderId="4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2" fillId="0" borderId="5" xfId="0" applyFont="1" applyBorder="1"/>
    <xf numFmtId="0" fontId="2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0" fillId="0" borderId="6" xfId="0" applyBorder="1"/>
    <xf numFmtId="43" fontId="3" fillId="0" borderId="0" xfId="1" applyFont="1" applyBorder="1"/>
    <xf numFmtId="43" fontId="3" fillId="0" borderId="6" xfId="1" applyFont="1" applyBorder="1"/>
    <xf numFmtId="43" fontId="3" fillId="0" borderId="0" xfId="1" applyFont="1"/>
    <xf numFmtId="43" fontId="3" fillId="0" borderId="3" xfId="1" applyFont="1" applyBorder="1"/>
    <xf numFmtId="10" fontId="2" fillId="5" borderId="0" xfId="0" applyNumberFormat="1" applyFont="1" applyFill="1" applyAlignment="1">
      <alignment horizontal="right"/>
    </xf>
    <xf numFmtId="165" fontId="0" fillId="0" borderId="7" xfId="0" applyNumberFormat="1" applyBorder="1"/>
    <xf numFmtId="184" fontId="0" fillId="0" borderId="0" xfId="0" applyNumberFormat="1"/>
    <xf numFmtId="185" fontId="0" fillId="0" borderId="0" xfId="0" applyNumberFormat="1"/>
    <xf numFmtId="169" fontId="0" fillId="0" borderId="0" xfId="0" applyNumberFormat="1"/>
    <xf numFmtId="169" fontId="2" fillId="0" borderId="0" xfId="0" applyNumberFormat="1" applyFont="1"/>
    <xf numFmtId="183" fontId="0" fillId="0" borderId="0" xfId="0" applyNumberFormat="1"/>
    <xf numFmtId="165" fontId="2" fillId="7" borderId="8" xfId="0" applyNumberFormat="1" applyFont="1" applyFill="1" applyBorder="1"/>
    <xf numFmtId="165" fontId="0" fillId="0" borderId="10" xfId="0" applyNumberFormat="1" applyBorder="1"/>
    <xf numFmtId="165" fontId="0" fillId="0" borderId="9" xfId="0" applyNumberFormat="1" applyBorder="1"/>
    <xf numFmtId="0" fontId="0" fillId="0" borderId="9" xfId="0" applyBorder="1"/>
    <xf numFmtId="10" fontId="2" fillId="0" borderId="9" xfId="2" applyNumberFormat="1" applyFont="1" applyBorder="1"/>
    <xf numFmtId="0" fontId="2" fillId="0" borderId="9" xfId="0" applyFont="1" applyBorder="1"/>
    <xf numFmtId="10" fontId="0" fillId="0" borderId="9" xfId="0" applyNumberFormat="1" applyBorder="1"/>
    <xf numFmtId="43" fontId="3" fillId="0" borderId="9" xfId="1" applyFont="1" applyBorder="1"/>
    <xf numFmtId="43" fontId="3" fillId="0" borderId="11" xfId="1" applyFont="1" applyBorder="1"/>
    <xf numFmtId="165" fontId="0" fillId="0" borderId="2" xfId="0" applyNumberFormat="1" applyBorder="1"/>
    <xf numFmtId="10" fontId="2" fillId="0" borderId="3" xfId="2" applyNumberFormat="1" applyFont="1" applyBorder="1"/>
    <xf numFmtId="10" fontId="2" fillId="8" borderId="0" xfId="2" applyNumberFormat="1" applyFont="1" applyFill="1"/>
    <xf numFmtId="169" fontId="2" fillId="9" borderId="9" xfId="0" applyNumberFormat="1" applyFont="1" applyFill="1" applyBorder="1"/>
    <xf numFmtId="169" fontId="2" fillId="9" borderId="3" xfId="0" applyNumberFormat="1" applyFont="1" applyFill="1" applyBorder="1"/>
    <xf numFmtId="10" fontId="2" fillId="3" borderId="0" xfId="1" applyNumberFormat="1" applyFont="1" applyFill="1"/>
    <xf numFmtId="165" fontId="2" fillId="0" borderId="0" xfId="0" applyNumberFormat="1" applyFont="1"/>
    <xf numFmtId="165" fontId="2" fillId="10" borderId="0" xfId="0" applyNumberFormat="1" applyFont="1" applyFill="1"/>
    <xf numFmtId="165" fontId="0" fillId="11" borderId="0" xfId="0" applyNumberFormat="1" applyFill="1"/>
    <xf numFmtId="183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4" fillId="12" borderId="0" xfId="0" applyFont="1" applyFill="1"/>
    <xf numFmtId="0" fontId="2" fillId="12" borderId="0" xfId="0" applyFont="1" applyFill="1"/>
    <xf numFmtId="0" fontId="4" fillId="2" borderId="0" xfId="0" applyFont="1" applyFill="1"/>
    <xf numFmtId="0" fontId="2" fillId="2" borderId="5" xfId="0" applyFont="1" applyFill="1" applyBorder="1"/>
    <xf numFmtId="0" fontId="3" fillId="0" borderId="5" xfId="0" applyFont="1" applyBorder="1" applyAlignment="1">
      <alignment wrapText="1"/>
    </xf>
    <xf numFmtId="0" fontId="3" fillId="0" borderId="12" xfId="0" applyFont="1" applyBorder="1" applyAlignment="1">
      <alignment wrapText="1"/>
    </xf>
    <xf numFmtId="10" fontId="2" fillId="0" borderId="0" xfId="0" applyNumberFormat="1" applyFont="1"/>
    <xf numFmtId="0" fontId="2" fillId="13" borderId="5" xfId="0" applyFont="1" applyFill="1" applyBorder="1" applyAlignment="1">
      <alignment wrapText="1"/>
    </xf>
    <xf numFmtId="0" fontId="2" fillId="14" borderId="5" xfId="0" applyFont="1" applyFill="1" applyBorder="1" applyAlignment="1">
      <alignment wrapText="1"/>
    </xf>
    <xf numFmtId="0" fontId="2" fillId="15" borderId="5" xfId="0" applyFont="1" applyFill="1" applyBorder="1" applyAlignment="1">
      <alignment wrapText="1"/>
    </xf>
    <xf numFmtId="185" fontId="0" fillId="15" borderId="8" xfId="0" applyNumberFormat="1" applyFill="1" applyBorder="1"/>
    <xf numFmtId="185" fontId="2" fillId="15" borderId="8" xfId="0" applyNumberFormat="1" applyFont="1" applyFill="1" applyBorder="1"/>
    <xf numFmtId="188" fontId="0" fillId="16" borderId="0" xfId="0" applyNumberFormat="1" applyFill="1"/>
    <xf numFmtId="0" fontId="2" fillId="17" borderId="5" xfId="0" applyFont="1" applyFill="1" applyBorder="1" applyAlignment="1">
      <alignment wrapText="1"/>
    </xf>
    <xf numFmtId="190" fontId="0" fillId="0" borderId="0" xfId="0" applyNumberFormat="1"/>
    <xf numFmtId="190" fontId="0" fillId="7" borderId="8" xfId="0" applyNumberFormat="1" applyFill="1" applyBorder="1"/>
    <xf numFmtId="190" fontId="0" fillId="18" borderId="0" xfId="0" applyNumberFormat="1" applyFill="1"/>
    <xf numFmtId="190" fontId="0" fillId="19" borderId="0" xfId="0" applyNumberFormat="1" applyFill="1"/>
    <xf numFmtId="0" fontId="2" fillId="0" borderId="13" xfId="0" applyFont="1" applyBorder="1"/>
    <xf numFmtId="0" fontId="2" fillId="15" borderId="13" xfId="0" applyFont="1" applyFill="1" applyBorder="1" applyAlignment="1">
      <alignment wrapText="1"/>
    </xf>
    <xf numFmtId="0" fontId="2" fillId="13" borderId="13" xfId="0" applyFont="1" applyFill="1" applyBorder="1"/>
    <xf numFmtId="0" fontId="2" fillId="14" borderId="13" xfId="0" applyFont="1" applyFill="1" applyBorder="1"/>
    <xf numFmtId="0" fontId="2" fillId="17" borderId="13" xfId="0" applyFont="1" applyFill="1" applyBorder="1" applyAlignment="1">
      <alignment horizontal="center" wrapText="1"/>
    </xf>
    <xf numFmtId="0" fontId="0" fillId="0" borderId="13" xfId="0" applyBorder="1"/>
    <xf numFmtId="43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LIBOR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889144862490453"/>
          <c:y val="0.19665809827022565"/>
          <c:w val="0.82737150257830405"/>
          <c:h val="0.65225725539075385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'Vanila IRS Valuation'!$C$14:$C$17</c:f>
              <c:numCache>
                <c:formatCode>_ * #\ ##0.0_)_ ;_ * \(#\ ##0.0\)_ ;_ * "-"??_)_ ;_ @_ </c:formatCode>
                <c:ptCount val="4"/>
                <c:pt idx="0" formatCode="_(* #,##0.00_);_(* \(#,##0.00\);_(* &quot;-&quot;??_);_(@_)">
                  <c:v>0.25</c:v>
                </c:pt>
                <c:pt idx="1">
                  <c:v>0.5</c:v>
                </c:pt>
                <c:pt idx="2" formatCode="_(* #,##0.00_);_(* \(#,##0.00\);_(* &quot;-&quot;??_);_(@_)">
                  <c:v>0.75</c:v>
                </c:pt>
                <c:pt idx="3" formatCode="_(* #,##0.00_);_(* \(#,##0.00\);_(* &quot;-&quot;??_);_(@_)">
                  <c:v>1.25</c:v>
                </c:pt>
              </c:numCache>
            </c:numRef>
          </c:xVal>
          <c:yVal>
            <c:numRef>
              <c:f>'Vanila IRS Valuation'!$D$14:$D$17</c:f>
              <c:numCache>
                <c:formatCode>0.0%</c:formatCode>
                <c:ptCount val="4"/>
                <c:pt idx="0">
                  <c:v>2.8000000000000001E-2</c:v>
                </c:pt>
                <c:pt idx="1">
                  <c:v>2.9000000000000001E-2</c:v>
                </c:pt>
                <c:pt idx="2">
                  <c:v>3.2000000000000001E-2</c:v>
                </c:pt>
                <c:pt idx="3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F-D541-8399-4BA56FA8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53184"/>
        <c:axId val="1148645776"/>
      </c:scatterChart>
      <c:valAx>
        <c:axId val="1178153184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645776"/>
        <c:crosses val="autoZero"/>
        <c:crossBetween val="midCat"/>
        <c:majorUnit val="0.25"/>
      </c:valAx>
      <c:valAx>
        <c:axId val="1148645776"/>
        <c:scaling>
          <c:orientation val="minMax"/>
          <c:max val="3.9000000000000007E-2"/>
          <c:min val="2.4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815318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291722</xdr:colOff>
      <xdr:row>9</xdr:row>
      <xdr:rowOff>99587</xdr:rowOff>
    </xdr:from>
    <xdr:to>
      <xdr:col>9</xdr:col>
      <xdr:colOff>817327</xdr:colOff>
      <xdr:row>20</xdr:row>
      <xdr:rowOff>88019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2E8A17-746B-C945-175C-25CBB2DD3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7098-F921-204D-AA2D-AFE680C05A62}">
  <dimension ref="B2:K41"/>
  <sheetViews>
    <sheetView showGridLines="0" tabSelected="1" topLeftCell="A10" zoomScale="101" workbookViewId="0">
      <selection activeCell="E36" sqref="E36"/>
    </sheetView>
  </sheetViews>
  <sheetFormatPr baseColWidth="10" defaultRowHeight="16" x14ac:dyDescent="0.2"/>
  <cols>
    <col min="2" max="2" width="7.1640625" customWidth="1"/>
    <col min="4" max="4" width="16.5" customWidth="1"/>
    <col min="5" max="5" width="14" bestFit="1" customWidth="1"/>
    <col min="7" max="7" width="12" bestFit="1" customWidth="1"/>
    <col min="9" max="9" width="12" bestFit="1" customWidth="1"/>
    <col min="10" max="10" width="19.83203125" bestFit="1" customWidth="1"/>
  </cols>
  <sheetData>
    <row r="2" spans="2:7" ht="19" x14ac:dyDescent="0.25">
      <c r="B2" s="2" t="s">
        <v>1</v>
      </c>
      <c r="C2" t="s">
        <v>2</v>
      </c>
    </row>
    <row r="5" spans="2:7" x14ac:dyDescent="0.2">
      <c r="B5" t="s">
        <v>0</v>
      </c>
    </row>
    <row r="6" spans="2:7" x14ac:dyDescent="0.2">
      <c r="B6" t="s">
        <v>3</v>
      </c>
    </row>
    <row r="8" spans="2:7" x14ac:dyDescent="0.2">
      <c r="B8" t="s">
        <v>4</v>
      </c>
    </row>
    <row r="10" spans="2:7" x14ac:dyDescent="0.2">
      <c r="B10" t="s">
        <v>5</v>
      </c>
    </row>
    <row r="13" spans="2:7" x14ac:dyDescent="0.2">
      <c r="C13" s="9" t="s">
        <v>19</v>
      </c>
      <c r="D13" s="9" t="s">
        <v>20</v>
      </c>
    </row>
    <row r="14" spans="2:7" x14ac:dyDescent="0.2">
      <c r="C14" s="5">
        <v>0.25</v>
      </c>
      <c r="D14" s="36">
        <v>2.8000000000000001E-2</v>
      </c>
      <c r="G14" s="36"/>
    </row>
    <row r="15" spans="2:7" x14ac:dyDescent="0.2">
      <c r="C15" s="7">
        <v>0.5</v>
      </c>
      <c r="D15" s="36">
        <v>2.9000000000000001E-2</v>
      </c>
      <c r="G15" s="36"/>
    </row>
    <row r="16" spans="2:7" x14ac:dyDescent="0.2">
      <c r="C16" s="5">
        <v>0.75</v>
      </c>
      <c r="D16" s="36">
        <v>3.2000000000000001E-2</v>
      </c>
      <c r="G16" s="36"/>
    </row>
    <row r="17" spans="2:9" x14ac:dyDescent="0.2">
      <c r="C17" s="5">
        <v>1.25</v>
      </c>
      <c r="D17" s="36">
        <v>3.4000000000000002E-2</v>
      </c>
      <c r="G17" s="36"/>
    </row>
    <row r="23" spans="2:9" ht="21" x14ac:dyDescent="0.25">
      <c r="B23" s="16" t="s">
        <v>6</v>
      </c>
      <c r="C23" s="13"/>
      <c r="D23" s="13"/>
      <c r="E23" s="13"/>
    </row>
    <row r="24" spans="2:9" ht="19" x14ac:dyDescent="0.25">
      <c r="B24" s="26" t="s">
        <v>7</v>
      </c>
      <c r="C24" s="26"/>
      <c r="D24" s="26"/>
      <c r="E24" s="27">
        <v>100</v>
      </c>
    </row>
    <row r="25" spans="2:9" ht="19" x14ac:dyDescent="0.25">
      <c r="B25" s="25" t="s">
        <v>8</v>
      </c>
      <c r="C25" s="25"/>
      <c r="D25" s="25"/>
      <c r="E25" s="15">
        <v>0.03</v>
      </c>
    </row>
    <row r="26" spans="2:9" ht="19" x14ac:dyDescent="0.25">
      <c r="B26" s="25" t="s">
        <v>9</v>
      </c>
      <c r="C26" s="25"/>
      <c r="D26" s="25"/>
      <c r="E26" s="15">
        <v>2.9000000000000001E-2</v>
      </c>
    </row>
    <row r="27" spans="2:9" x14ac:dyDescent="0.2">
      <c r="G27" s="4"/>
    </row>
    <row r="29" spans="2:9" ht="21" x14ac:dyDescent="0.25">
      <c r="B29" s="16" t="s">
        <v>10</v>
      </c>
      <c r="C29" s="9"/>
      <c r="D29" s="9"/>
      <c r="E29" s="10">
        <v>0.25</v>
      </c>
      <c r="F29" s="10">
        <v>0.75</v>
      </c>
      <c r="G29" s="10">
        <v>1.25</v>
      </c>
      <c r="H29" s="9"/>
      <c r="I29" s="9" t="s">
        <v>11</v>
      </c>
    </row>
    <row r="30" spans="2:9" ht="19" x14ac:dyDescent="0.25">
      <c r="B30" s="24" t="s">
        <v>1</v>
      </c>
      <c r="C30" s="24"/>
      <c r="D30" s="24"/>
      <c r="E30" s="31">
        <v>2.8000000000000001E-2</v>
      </c>
      <c r="F30" s="31">
        <v>3.2000000000000001E-2</v>
      </c>
      <c r="G30" s="31">
        <v>3.4000000000000002E-2</v>
      </c>
    </row>
    <row r="31" spans="2:9" ht="19" x14ac:dyDescent="0.25">
      <c r="B31" s="23" t="s">
        <v>12</v>
      </c>
      <c r="C31" s="23"/>
      <c r="D31" s="23"/>
      <c r="E31" s="6">
        <f>EXP(-E29*E30)</f>
        <v>0.99302444293323511</v>
      </c>
      <c r="F31" s="6">
        <f t="shared" ref="F31:G31" si="0">EXP(-F29*F30)</f>
        <v>0.97628570975790929</v>
      </c>
      <c r="G31" s="6">
        <f t="shared" si="0"/>
        <v>0.95839046552094698</v>
      </c>
    </row>
    <row r="33" spans="2:11" ht="21" x14ac:dyDescent="0.25">
      <c r="B33" s="17" t="s">
        <v>13</v>
      </c>
      <c r="C33" s="17"/>
      <c r="D33" s="17"/>
      <c r="E33" s="17"/>
      <c r="F33" s="17"/>
      <c r="G33" s="17"/>
      <c r="H33" s="17"/>
      <c r="I33" s="17"/>
    </row>
    <row r="35" spans="2:11" ht="19" x14ac:dyDescent="0.25">
      <c r="B35" s="18" t="s">
        <v>14</v>
      </c>
      <c r="C35" s="18"/>
      <c r="D35" s="18"/>
      <c r="E35" s="18"/>
      <c r="F35" s="18"/>
      <c r="G35" s="18"/>
      <c r="H35" s="18"/>
      <c r="I35" s="18"/>
    </row>
    <row r="36" spans="2:11" x14ac:dyDescent="0.2">
      <c r="B36" s="20" t="s">
        <v>15</v>
      </c>
      <c r="C36" s="20"/>
      <c r="D36" s="20"/>
      <c r="E36" s="28">
        <f>E24*E26/2+E24</f>
        <v>101.45</v>
      </c>
      <c r="J36">
        <f>E24/E24*(E26/2)*100</f>
        <v>1.4500000000000002</v>
      </c>
      <c r="K36" s="102">
        <f>J36+E24</f>
        <v>101.45</v>
      </c>
    </row>
    <row r="37" spans="2:11" x14ac:dyDescent="0.2">
      <c r="B37" s="21" t="s">
        <v>16</v>
      </c>
      <c r="C37" s="21"/>
      <c r="D37" s="21"/>
      <c r="E37" s="32">
        <f>E31*E36</f>
        <v>100.7423297355767</v>
      </c>
      <c r="I37" s="33">
        <f>SUM(E37:G37)</f>
        <v>100.7423297355767</v>
      </c>
    </row>
    <row r="38" spans="2:11" ht="19" x14ac:dyDescent="0.25">
      <c r="B38" s="19" t="s">
        <v>17</v>
      </c>
      <c r="C38" s="19"/>
      <c r="D38" s="19"/>
      <c r="E38" s="19"/>
      <c r="F38" s="19"/>
      <c r="G38" s="19"/>
      <c r="H38" s="19"/>
      <c r="I38" s="19"/>
    </row>
    <row r="39" spans="2:11" x14ac:dyDescent="0.2">
      <c r="B39" s="20" t="s">
        <v>15</v>
      </c>
      <c r="C39" s="20"/>
      <c r="D39" s="20"/>
      <c r="E39" s="28">
        <f>E24*E25/2</f>
        <v>1.5</v>
      </c>
      <c r="F39" s="28">
        <f>E24*E25/2</f>
        <v>1.5</v>
      </c>
      <c r="G39" s="28">
        <f>E24+E24*E25/2</f>
        <v>101.5</v>
      </c>
    </row>
    <row r="40" spans="2:11" x14ac:dyDescent="0.2">
      <c r="B40" s="22" t="s">
        <v>16</v>
      </c>
      <c r="C40" s="22"/>
      <c r="D40" s="22"/>
      <c r="E40" s="29">
        <f>E31*E39</f>
        <v>1.4895366643998527</v>
      </c>
      <c r="F40" s="29">
        <f>F31*F39</f>
        <v>1.464428564636864</v>
      </c>
      <c r="G40" s="29">
        <f>G31*G39</f>
        <v>97.276632250376124</v>
      </c>
      <c r="H40" s="11"/>
      <c r="I40" s="30">
        <f>SUM(E40:G40)</f>
        <v>100.23059747941284</v>
      </c>
      <c r="J40" s="34">
        <f>(I40-I37)*1000000</f>
        <v>-511732.25616386731</v>
      </c>
    </row>
    <row r="41" spans="2:11" ht="19" x14ac:dyDescent="0.25">
      <c r="B41" s="24" t="s">
        <v>18</v>
      </c>
      <c r="C41" s="24"/>
      <c r="D41" s="24"/>
      <c r="I41" s="34">
        <f>I37-I40</f>
        <v>0.51173225616386731</v>
      </c>
      <c r="J41" s="34">
        <f>I41*1000000</f>
        <v>511732.25616386731</v>
      </c>
    </row>
  </sheetData>
  <mergeCells count="13">
    <mergeCell ref="B36:D36"/>
    <mergeCell ref="B37:D37"/>
    <mergeCell ref="B39:D39"/>
    <mergeCell ref="B40:D40"/>
    <mergeCell ref="B41:D41"/>
    <mergeCell ref="B30:D30"/>
    <mergeCell ref="B31:D31"/>
    <mergeCell ref="B24:D24"/>
    <mergeCell ref="B25:D25"/>
    <mergeCell ref="B26:D26"/>
    <mergeCell ref="B35:I35"/>
    <mergeCell ref="B38:I38"/>
    <mergeCell ref="B33:I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109F-DD1E-3C40-8505-E47698958F50}">
  <dimension ref="A3:Z38"/>
  <sheetViews>
    <sheetView showGridLines="0" topLeftCell="D13" zoomScale="101" workbookViewId="0">
      <selection activeCell="L36" sqref="L36"/>
    </sheetView>
  </sheetViews>
  <sheetFormatPr baseColWidth="10" defaultRowHeight="16" x14ac:dyDescent="0.2"/>
  <cols>
    <col min="1" max="1" width="3.6640625" customWidth="1"/>
    <col min="2" max="2" width="9.83203125" customWidth="1"/>
    <col min="5" max="5" width="13.5" bestFit="1" customWidth="1"/>
    <col min="6" max="6" width="8.1640625" customWidth="1"/>
    <col min="9" max="9" width="7.83203125" customWidth="1"/>
    <col min="17" max="17" width="13.33203125" bestFit="1" customWidth="1"/>
    <col min="18" max="18" width="14.1640625" bestFit="1" customWidth="1"/>
    <col min="19" max="19" width="13.33203125" bestFit="1" customWidth="1"/>
    <col min="20" max="20" width="24.1640625" bestFit="1" customWidth="1"/>
    <col min="21" max="21" width="15.1640625" bestFit="1" customWidth="1"/>
    <col min="22" max="22" width="13.33203125" bestFit="1" customWidth="1"/>
    <col min="23" max="23" width="25.6640625" bestFit="1" customWidth="1"/>
    <col min="24" max="25" width="13.33203125" bestFit="1" customWidth="1"/>
    <col min="26" max="26" width="24" bestFit="1" customWidth="1"/>
  </cols>
  <sheetData>
    <row r="3" spans="2:13" x14ac:dyDescent="0.2">
      <c r="B3" s="45"/>
    </row>
    <row r="4" spans="2:13" x14ac:dyDescent="0.2">
      <c r="B4" s="45"/>
    </row>
    <row r="5" spans="2:13" x14ac:dyDescent="0.2">
      <c r="B5" s="45"/>
    </row>
    <row r="6" spans="2:13" ht="19" x14ac:dyDescent="0.25">
      <c r="B6" s="45"/>
      <c r="C6" s="12" t="s">
        <v>21</v>
      </c>
      <c r="D6" s="11"/>
      <c r="E6" s="11"/>
    </row>
    <row r="7" spans="2:13" x14ac:dyDescent="0.2">
      <c r="B7" s="45"/>
      <c r="C7" s="35" t="s">
        <v>22</v>
      </c>
      <c r="D7" s="35"/>
      <c r="E7" s="37">
        <v>1000</v>
      </c>
      <c r="I7" s="38"/>
    </row>
    <row r="8" spans="2:13" x14ac:dyDescent="0.2">
      <c r="B8" s="45"/>
      <c r="C8" s="35" t="s">
        <v>23</v>
      </c>
      <c r="D8" s="35"/>
      <c r="E8" s="50">
        <v>0.05</v>
      </c>
    </row>
    <row r="9" spans="2:13" x14ac:dyDescent="0.2">
      <c r="B9" s="45"/>
      <c r="C9" s="35" t="s">
        <v>24</v>
      </c>
      <c r="D9" s="35"/>
      <c r="E9" s="50">
        <v>0.02</v>
      </c>
    </row>
    <row r="10" spans="2:13" x14ac:dyDescent="0.2">
      <c r="B10" s="45"/>
      <c r="C10" s="35" t="s">
        <v>25</v>
      </c>
      <c r="D10" s="35"/>
      <c r="E10" s="50">
        <v>0.4</v>
      </c>
      <c r="L10" s="6"/>
    </row>
    <row r="11" spans="2:13" ht="17" thickBot="1" x14ac:dyDescent="0.25">
      <c r="B11" s="45"/>
      <c r="C11" s="35" t="s">
        <v>41</v>
      </c>
      <c r="D11" s="35"/>
      <c r="E11" s="35"/>
      <c r="K11" s="3"/>
      <c r="L11" s="54"/>
      <c r="M11" s="3"/>
    </row>
    <row r="12" spans="2:13" ht="35" thickBot="1" x14ac:dyDescent="0.25">
      <c r="B12" s="45"/>
      <c r="G12" s="41" t="s">
        <v>26</v>
      </c>
      <c r="H12" s="38" t="s">
        <v>27</v>
      </c>
      <c r="I12" s="40" t="s">
        <v>28</v>
      </c>
    </row>
    <row r="13" spans="2:13" x14ac:dyDescent="0.2">
      <c r="B13" s="45"/>
    </row>
    <row r="14" spans="2:13" x14ac:dyDescent="0.2">
      <c r="B14" s="45"/>
    </row>
    <row r="15" spans="2:13" ht="19" x14ac:dyDescent="0.25">
      <c r="B15" s="45"/>
      <c r="C15" s="78" t="s">
        <v>34</v>
      </c>
      <c r="D15" s="78"/>
      <c r="E15" s="78"/>
      <c r="F15" s="78"/>
      <c r="G15" s="78"/>
      <c r="H15" s="78"/>
      <c r="J15" s="80" t="s">
        <v>36</v>
      </c>
      <c r="K15" s="80"/>
      <c r="L15" s="80"/>
      <c r="M15" s="80"/>
    </row>
    <row r="16" spans="2:13" x14ac:dyDescent="0.2">
      <c r="B16" s="45"/>
      <c r="D16" s="79" t="s">
        <v>29</v>
      </c>
      <c r="G16" s="79" t="s">
        <v>29</v>
      </c>
      <c r="L16" s="14"/>
      <c r="M16" s="14"/>
    </row>
    <row r="17" spans="1:26" ht="17" thickBot="1" x14ac:dyDescent="0.25">
      <c r="B17" s="45"/>
      <c r="D17" s="42" t="s">
        <v>32</v>
      </c>
      <c r="E17" s="42"/>
      <c r="G17" s="42" t="s">
        <v>33</v>
      </c>
      <c r="H17" s="42"/>
      <c r="L17" s="81" t="s">
        <v>37</v>
      </c>
      <c r="M17" s="81"/>
    </row>
    <row r="18" spans="1:26" s="39" customFormat="1" ht="36" customHeight="1" thickTop="1" thickBot="1" x14ac:dyDescent="0.3">
      <c r="A18" s="82" t="s">
        <v>48</v>
      </c>
      <c r="B18" s="83"/>
      <c r="C18" s="44" t="s">
        <v>12</v>
      </c>
      <c r="D18" s="44" t="s">
        <v>30</v>
      </c>
      <c r="E18" s="44" t="s">
        <v>31</v>
      </c>
      <c r="F18" s="43"/>
      <c r="G18" s="87" t="s">
        <v>33</v>
      </c>
      <c r="H18" s="86" t="s">
        <v>35</v>
      </c>
      <c r="I18" s="44"/>
      <c r="J18" s="44" t="s">
        <v>38</v>
      </c>
      <c r="K18" s="85" t="s">
        <v>12</v>
      </c>
      <c r="L18" s="91" t="s">
        <v>39</v>
      </c>
      <c r="M18" s="44" t="s">
        <v>40</v>
      </c>
      <c r="P18" s="96" t="s">
        <v>61</v>
      </c>
      <c r="Q18" s="96" t="s">
        <v>51</v>
      </c>
      <c r="R18" s="96" t="s">
        <v>30</v>
      </c>
      <c r="S18" s="96" t="s">
        <v>49</v>
      </c>
      <c r="T18" s="96" t="s">
        <v>50</v>
      </c>
      <c r="U18" s="97" t="s">
        <v>52</v>
      </c>
      <c r="V18" s="98" t="s">
        <v>49</v>
      </c>
      <c r="W18" s="99" t="s">
        <v>53</v>
      </c>
      <c r="X18" s="100" t="s">
        <v>54</v>
      </c>
      <c r="Y18" s="96" t="s">
        <v>49</v>
      </c>
      <c r="Z18" s="96" t="s">
        <v>55</v>
      </c>
    </row>
    <row r="19" spans="1:26" ht="20" thickTop="1" x14ac:dyDescent="0.25">
      <c r="A19" s="46">
        <v>0.5</v>
      </c>
      <c r="B19" s="47"/>
      <c r="G19" s="68">
        <f>J19*0.5</f>
        <v>1.0000000000000009E-2</v>
      </c>
      <c r="H19" s="6">
        <f>G19*K19</f>
        <v>9.7530991202833348E-3</v>
      </c>
      <c r="J19" s="71">
        <f>1-D20</f>
        <v>2.0000000000000018E-2</v>
      </c>
      <c r="K19" s="6">
        <f>EXP(-$E$8*A19)</f>
        <v>0.97530991202833262</v>
      </c>
      <c r="L19" s="3">
        <f>J19*(1-$E$10)</f>
        <v>1.2000000000000011E-2</v>
      </c>
      <c r="M19" s="6">
        <f>L19*K19</f>
        <v>1.1703718944340002E-2</v>
      </c>
    </row>
    <row r="20" spans="1:26" ht="19" x14ac:dyDescent="0.25">
      <c r="A20" s="64">
        <v>1</v>
      </c>
      <c r="B20" s="64"/>
      <c r="C20" s="58">
        <f>EXP(-$E$8*A20)</f>
        <v>0.95122942450071402</v>
      </c>
      <c r="D20" s="69">
        <f>(1-$E$9)^A20</f>
        <v>0.98</v>
      </c>
      <c r="E20" s="59">
        <f>C20*D20</f>
        <v>0.9322048360106997</v>
      </c>
      <c r="F20" s="60"/>
      <c r="G20" s="61"/>
      <c r="H20" s="59"/>
      <c r="I20" s="60"/>
      <c r="J20" s="62"/>
      <c r="K20" s="59"/>
      <c r="L20" s="63"/>
      <c r="M20" s="59"/>
      <c r="P20">
        <v>1</v>
      </c>
      <c r="Q20" s="3">
        <f>E9</f>
        <v>0.02</v>
      </c>
      <c r="R20" s="84">
        <f>1-Q20</f>
        <v>0.98</v>
      </c>
      <c r="S20" s="52">
        <f>1/(1+$E$8)^P20</f>
        <v>0.95238095238095233</v>
      </c>
      <c r="T20" s="53">
        <f>R20*S20</f>
        <v>0.93333333333333324</v>
      </c>
      <c r="U20">
        <f>Q20/2</f>
        <v>0.01</v>
      </c>
      <c r="V20" s="52">
        <f>1/(1+$E$8)^(P20-0.5)</f>
        <v>0.97590007294853309</v>
      </c>
      <c r="W20" s="53">
        <f>U20*V20</f>
        <v>9.7590007294853318E-3</v>
      </c>
      <c r="X20" s="56">
        <f>Q20*(1-$E$10)</f>
        <v>1.2E-2</v>
      </c>
      <c r="Y20" s="52">
        <f>1/(1+$E$8)^(P20-0.5)</f>
        <v>0.97590007294853309</v>
      </c>
      <c r="Z20" s="92">
        <f>X20*Y20</f>
        <v>1.1710800875382397E-2</v>
      </c>
    </row>
    <row r="21" spans="1:26" ht="19" x14ac:dyDescent="0.25">
      <c r="A21" s="46">
        <v>1.5</v>
      </c>
      <c r="B21" s="47"/>
      <c r="C21" s="51"/>
      <c r="D21" s="55"/>
      <c r="E21" s="6"/>
      <c r="G21" s="68">
        <f>J21*0.5</f>
        <v>9.7999999999999997E-3</v>
      </c>
      <c r="H21" s="6">
        <f t="shared" ref="H21:H27" si="0">G21*K21</f>
        <v>9.0918861660198181E-3</v>
      </c>
      <c r="J21" s="71">
        <f>D20*$E$9</f>
        <v>1.9599999999999999E-2</v>
      </c>
      <c r="K21" s="6">
        <f t="shared" ref="K21:K27" si="1">EXP(-$E$8*A21)</f>
        <v>0.92774348632855286</v>
      </c>
      <c r="L21" s="3">
        <f t="shared" ref="L21:L27" si="2">J21*(1-$E$10)</f>
        <v>1.176E-2</v>
      </c>
      <c r="M21" s="6">
        <f t="shared" ref="M21:M27" si="3">L21*K21</f>
        <v>1.0910263399223781E-2</v>
      </c>
      <c r="P21">
        <v>2</v>
      </c>
      <c r="Q21" s="3">
        <f>R20*$E$9</f>
        <v>1.9599999999999999E-2</v>
      </c>
      <c r="R21" s="84">
        <f>R20-Q21</f>
        <v>0.96040000000000003</v>
      </c>
      <c r="S21" s="52">
        <f>1/(1+$E$8)^P21</f>
        <v>0.90702947845804982</v>
      </c>
      <c r="T21" s="53">
        <f>R21*S21</f>
        <v>0.87111111111111106</v>
      </c>
      <c r="U21" s="56">
        <f t="shared" ref="U21:U24" si="4">Q21/2</f>
        <v>9.7999999999999997E-3</v>
      </c>
      <c r="V21" s="52">
        <f t="shared" ref="V21:V24" si="5">1/(1+$E$8)^(P21-0.5)</f>
        <v>0.92942864090336497</v>
      </c>
      <c r="W21" s="53">
        <f t="shared" ref="W21:W24" si="6">U21*V21</f>
        <v>9.1084006808529756E-3</v>
      </c>
      <c r="X21" s="56">
        <f t="shared" ref="X21:X24" si="7">Q21*(1-$E$10)</f>
        <v>1.176E-2</v>
      </c>
      <c r="Y21" s="52">
        <f t="shared" ref="Y21:Y24" si="8">1/(1+$E$8)^(P21-0.5)</f>
        <v>0.92942864090336497</v>
      </c>
      <c r="Z21" s="92">
        <f t="shared" ref="Z21:Z24" si="9">X21*Y21</f>
        <v>1.0930080817023572E-2</v>
      </c>
    </row>
    <row r="22" spans="1:26" ht="19" x14ac:dyDescent="0.25">
      <c r="A22" s="64">
        <v>2</v>
      </c>
      <c r="B22" s="64"/>
      <c r="C22" s="58">
        <f t="shared" ref="C22:C28" si="10">EXP(-$E$8*A22)</f>
        <v>0.90483741803595952</v>
      </c>
      <c r="D22" s="69">
        <f t="shared" ref="D22:D28" si="11">(1-$E$9)^A22</f>
        <v>0.96039999999999992</v>
      </c>
      <c r="E22" s="59">
        <f t="shared" ref="E22:E28" si="12">C22*D22</f>
        <v>0.86900585628173543</v>
      </c>
      <c r="F22" s="60"/>
      <c r="G22" s="61"/>
      <c r="H22" s="59"/>
      <c r="I22" s="60"/>
      <c r="J22" s="71"/>
      <c r="K22" s="59"/>
      <c r="L22" s="63"/>
      <c r="M22" s="59"/>
      <c r="P22">
        <v>3</v>
      </c>
      <c r="Q22" s="3">
        <f t="shared" ref="Q22:Q24" si="13">R21*$E$9</f>
        <v>1.9207999999999999E-2</v>
      </c>
      <c r="R22" s="84">
        <f t="shared" ref="R22:R24" si="14">R21-Q22</f>
        <v>0.94119200000000003</v>
      </c>
      <c r="S22" s="52">
        <f>1/(1+$E$8)^P22</f>
        <v>0.86383759853147601</v>
      </c>
      <c r="T22" s="53">
        <f>R22*S22</f>
        <v>0.813037037037037</v>
      </c>
      <c r="U22" s="56">
        <f t="shared" si="4"/>
        <v>9.6039999999999997E-3</v>
      </c>
      <c r="V22" s="52">
        <f t="shared" si="5"/>
        <v>0.88517013419368074</v>
      </c>
      <c r="W22" s="53">
        <f t="shared" si="6"/>
        <v>8.5011739687961101E-3</v>
      </c>
      <c r="X22" s="56">
        <f t="shared" si="7"/>
        <v>1.15248E-2</v>
      </c>
      <c r="Y22" s="52">
        <f t="shared" si="8"/>
        <v>0.88517013419368074</v>
      </c>
      <c r="Z22" s="92">
        <f t="shared" si="9"/>
        <v>1.0201408762555332E-2</v>
      </c>
    </row>
    <row r="23" spans="1:26" ht="19" x14ac:dyDescent="0.25">
      <c r="A23" s="46">
        <v>2.5</v>
      </c>
      <c r="B23" s="47"/>
      <c r="C23" s="51"/>
      <c r="D23" s="55"/>
      <c r="E23" s="6"/>
      <c r="G23" s="68">
        <f t="shared" ref="G23:G27" si="15">J23*0.5</f>
        <v>9.6039999999999997E-3</v>
      </c>
      <c r="H23" s="6">
        <f t="shared" si="0"/>
        <v>8.4755002524224549E-3</v>
      </c>
      <c r="J23" s="71">
        <f t="shared" ref="J23:J27" si="16">D22*$E$9</f>
        <v>1.9207999999999999E-2</v>
      </c>
      <c r="K23" s="6">
        <f t="shared" si="1"/>
        <v>0.88249690258459546</v>
      </c>
      <c r="L23" s="3">
        <f t="shared" si="2"/>
        <v>1.15248E-2</v>
      </c>
      <c r="M23" s="6">
        <f t="shared" si="3"/>
        <v>1.0170600302906946E-2</v>
      </c>
      <c r="P23" s="39">
        <v>4</v>
      </c>
      <c r="Q23" s="3">
        <f t="shared" si="13"/>
        <v>1.8823840000000001E-2</v>
      </c>
      <c r="R23" s="84">
        <f t="shared" si="14"/>
        <v>0.92236815999999999</v>
      </c>
      <c r="S23" s="52">
        <f>1/(1+$E$8)^P23</f>
        <v>0.82270247479188197</v>
      </c>
      <c r="T23" s="53">
        <f>R23*S23</f>
        <v>0.75883456790123449</v>
      </c>
      <c r="U23" s="56">
        <f t="shared" si="4"/>
        <v>9.4119200000000007E-3</v>
      </c>
      <c r="V23" s="52">
        <f t="shared" si="5"/>
        <v>0.843019175422553</v>
      </c>
      <c r="W23" s="53">
        <f t="shared" si="6"/>
        <v>7.9344290375430362E-3</v>
      </c>
      <c r="X23" s="56">
        <f t="shared" si="7"/>
        <v>1.1294304E-2</v>
      </c>
      <c r="Y23" s="52">
        <f t="shared" si="8"/>
        <v>0.843019175422553</v>
      </c>
      <c r="Z23" s="92">
        <f t="shared" si="9"/>
        <v>9.5213148450516427E-3</v>
      </c>
    </row>
    <row r="24" spans="1:26" ht="19" x14ac:dyDescent="0.25">
      <c r="A24" s="64">
        <v>3</v>
      </c>
      <c r="B24" s="65"/>
      <c r="C24" s="58">
        <f t="shared" si="10"/>
        <v>0.86070797642505781</v>
      </c>
      <c r="D24" s="69">
        <f t="shared" si="11"/>
        <v>0.94119199999999992</v>
      </c>
      <c r="E24" s="59">
        <f t="shared" si="12"/>
        <v>0.81009146174745295</v>
      </c>
      <c r="F24" s="60"/>
      <c r="G24" s="61"/>
      <c r="H24" s="59"/>
      <c r="I24" s="60"/>
      <c r="J24" s="71"/>
      <c r="K24" s="59"/>
      <c r="L24" s="63"/>
      <c r="M24" s="59"/>
      <c r="P24">
        <v>5</v>
      </c>
      <c r="Q24" s="3">
        <f t="shared" si="13"/>
        <v>1.8447363200000001E-2</v>
      </c>
      <c r="R24" s="84">
        <f t="shared" si="14"/>
        <v>0.90392079680000004</v>
      </c>
      <c r="S24" s="52">
        <f>1/(1+$E$8)^P24</f>
        <v>0.78352616646845896</v>
      </c>
      <c r="T24" s="53">
        <f>R24*S24</f>
        <v>0.70824559670781895</v>
      </c>
      <c r="U24" s="56">
        <f t="shared" si="4"/>
        <v>9.2236816000000003E-3</v>
      </c>
      <c r="V24" s="52">
        <f t="shared" si="5"/>
        <v>0.80287540516433631</v>
      </c>
      <c r="W24" s="53">
        <f t="shared" si="6"/>
        <v>7.4054671017068337E-3</v>
      </c>
      <c r="X24" s="56">
        <f t="shared" si="7"/>
        <v>1.106841792E-2</v>
      </c>
      <c r="Y24" s="52">
        <f t="shared" si="8"/>
        <v>0.80287540516433631</v>
      </c>
      <c r="Z24" s="92">
        <f t="shared" si="9"/>
        <v>8.8865605220482015E-3</v>
      </c>
    </row>
    <row r="25" spans="1:26" ht="20" thickBot="1" x14ac:dyDescent="0.3">
      <c r="A25" s="48">
        <v>3.5</v>
      </c>
      <c r="B25" s="48"/>
      <c r="C25" s="51"/>
      <c r="D25" s="55"/>
      <c r="E25" s="6"/>
      <c r="G25" s="68">
        <f t="shared" si="15"/>
        <v>9.411919999999999E-3</v>
      </c>
      <c r="H25" s="6">
        <f t="shared" si="0"/>
        <v>7.9009023229181172E-3</v>
      </c>
      <c r="J25" s="71">
        <f t="shared" si="16"/>
        <v>1.8823839999999998E-2</v>
      </c>
      <c r="K25" s="6">
        <f t="shared" si="1"/>
        <v>0.83945702076920736</v>
      </c>
      <c r="L25" s="3">
        <f t="shared" si="2"/>
        <v>1.1294303999999998E-2</v>
      </c>
      <c r="M25" s="6">
        <f t="shared" si="3"/>
        <v>9.481082787501741E-3</v>
      </c>
      <c r="T25" s="89">
        <f>SUM(T20:T24)</f>
        <v>4.0845616460905347</v>
      </c>
      <c r="W25" s="88">
        <f>SUM(W20:W24)</f>
        <v>4.2708471518384292E-2</v>
      </c>
      <c r="Z25" s="93">
        <f>SUM(Z20:Z24)</f>
        <v>5.1250165822061142E-2</v>
      </c>
    </row>
    <row r="26" spans="1:26" ht="20" thickTop="1" x14ac:dyDescent="0.25">
      <c r="A26" s="64">
        <v>4</v>
      </c>
      <c r="B26" s="64"/>
      <c r="C26" s="58">
        <f t="shared" si="10"/>
        <v>0.81873075307798182</v>
      </c>
      <c r="D26" s="69">
        <f t="shared" si="11"/>
        <v>0.92236815999999988</v>
      </c>
      <c r="E26" s="59">
        <f t="shared" si="12"/>
        <v>0.75517117825195235</v>
      </c>
      <c r="F26" s="60"/>
      <c r="G26" s="61"/>
      <c r="H26" s="59"/>
      <c r="I26" s="60"/>
      <c r="J26" s="71"/>
      <c r="K26" s="59"/>
      <c r="L26" s="63"/>
      <c r="M26" s="59"/>
    </row>
    <row r="27" spans="1:26" ht="19" x14ac:dyDescent="0.25">
      <c r="A27" s="48">
        <v>4.5</v>
      </c>
      <c r="B27" s="48"/>
      <c r="C27" s="51"/>
      <c r="D27" s="55"/>
      <c r="E27" s="6"/>
      <c r="G27" s="68">
        <f t="shared" si="15"/>
        <v>9.2236815999999985E-3</v>
      </c>
      <c r="H27" s="6">
        <f t="shared" si="0"/>
        <v>7.3652593542724402E-3</v>
      </c>
      <c r="J27" s="71">
        <f t="shared" si="16"/>
        <v>1.8447363199999997E-2</v>
      </c>
      <c r="K27" s="6">
        <f t="shared" si="1"/>
        <v>0.79851621875937706</v>
      </c>
      <c r="L27" s="3">
        <f t="shared" si="2"/>
        <v>1.1068417919999999E-2</v>
      </c>
      <c r="M27" s="6">
        <f t="shared" si="3"/>
        <v>8.8383112251269273E-3</v>
      </c>
    </row>
    <row r="28" spans="1:26" ht="19" x14ac:dyDescent="0.25">
      <c r="A28" s="49">
        <v>5</v>
      </c>
      <c r="B28" s="49"/>
      <c r="C28" s="66">
        <f t="shared" si="10"/>
        <v>0.77880078307140488</v>
      </c>
      <c r="D28" s="70">
        <f t="shared" si="11"/>
        <v>0.90392079679999982</v>
      </c>
      <c r="E28" s="6">
        <f t="shared" si="12"/>
        <v>0.70397422438236812</v>
      </c>
      <c r="F28" s="11"/>
      <c r="G28" s="67"/>
      <c r="I28" s="11"/>
      <c r="J28" s="9"/>
      <c r="K28" s="11"/>
      <c r="L28" s="11"/>
      <c r="M28" s="11"/>
      <c r="N28" s="11"/>
    </row>
    <row r="29" spans="1:26" ht="17" thickBot="1" x14ac:dyDescent="0.25">
      <c r="B29" s="45"/>
      <c r="E29" s="57">
        <f>SUM(E20:E28)</f>
        <v>4.0704475566742087</v>
      </c>
      <c r="H29" s="57">
        <f>SUM(H19:H27)</f>
        <v>4.2586647215916165E-2</v>
      </c>
      <c r="M29" s="57">
        <f>SUM(M19:M28)</f>
        <v>5.1103976659099395E-2</v>
      </c>
    </row>
    <row r="30" spans="1:26" ht="17" thickTop="1" x14ac:dyDescent="0.2">
      <c r="B30" s="45"/>
      <c r="G30" s="1" t="s">
        <v>42</v>
      </c>
      <c r="H30" s="72">
        <f>E29+H29</f>
        <v>4.1130342038901251</v>
      </c>
    </row>
    <row r="31" spans="1:26" ht="17" thickBot="1" x14ac:dyDescent="0.25">
      <c r="T31" s="101" t="s">
        <v>60</v>
      </c>
      <c r="U31" s="101"/>
    </row>
    <row r="32" spans="1:26" x14ac:dyDescent="0.2">
      <c r="T32" t="s">
        <v>57</v>
      </c>
      <c r="U32" s="94">
        <f>Z25</f>
        <v>5.1250165822061142E-2</v>
      </c>
    </row>
    <row r="33" spans="4:21" ht="19" x14ac:dyDescent="0.25">
      <c r="F33" s="23" t="s">
        <v>43</v>
      </c>
      <c r="G33" s="23"/>
      <c r="H33" s="73">
        <f>E29+H29</f>
        <v>4.1130342038901251</v>
      </c>
      <c r="T33" t="s">
        <v>56</v>
      </c>
      <c r="U33" s="90">
        <f>T25+W25</f>
        <v>4.1272701176089193</v>
      </c>
    </row>
    <row r="34" spans="4:21" ht="19" x14ac:dyDescent="0.25">
      <c r="F34" s="23" t="s">
        <v>44</v>
      </c>
      <c r="G34" s="23"/>
      <c r="H34" s="74">
        <f>M29</f>
        <v>5.1103976659099395E-2</v>
      </c>
      <c r="T34" t="s">
        <v>58</v>
      </c>
      <c r="U34" s="76">
        <f>U32/U33*10000</f>
        <v>124.17448909729288</v>
      </c>
    </row>
    <row r="35" spans="4:21" x14ac:dyDescent="0.2">
      <c r="D35" s="8"/>
      <c r="T35" t="s">
        <v>59</v>
      </c>
      <c r="U35" s="95">
        <f>U33*U34/10000-U32</f>
        <v>0</v>
      </c>
    </row>
    <row r="36" spans="4:21" x14ac:dyDescent="0.2">
      <c r="F36" s="1" t="s">
        <v>45</v>
      </c>
      <c r="H36" s="75">
        <f>H34/H33</f>
        <v>1.2424884920909493E-2</v>
      </c>
    </row>
    <row r="38" spans="4:21" ht="19" x14ac:dyDescent="0.25">
      <c r="F38" s="2" t="s">
        <v>46</v>
      </c>
      <c r="H38" s="77">
        <f>H36*10000</f>
        <v>124.24884920909493</v>
      </c>
      <c r="I38" s="1" t="s">
        <v>47</v>
      </c>
    </row>
  </sheetData>
  <mergeCells count="23">
    <mergeCell ref="A21:B21"/>
    <mergeCell ref="C11:E11"/>
    <mergeCell ref="F33:G33"/>
    <mergeCell ref="F34:G34"/>
    <mergeCell ref="L17:M17"/>
    <mergeCell ref="J15:M15"/>
    <mergeCell ref="A18:B18"/>
    <mergeCell ref="A28:B28"/>
    <mergeCell ref="A27:B27"/>
    <mergeCell ref="A26:B26"/>
    <mergeCell ref="A25:B25"/>
    <mergeCell ref="A24:B24"/>
    <mergeCell ref="A23:B23"/>
    <mergeCell ref="A22:B22"/>
    <mergeCell ref="A20:B20"/>
    <mergeCell ref="C8:D8"/>
    <mergeCell ref="C7:D7"/>
    <mergeCell ref="C9:D9"/>
    <mergeCell ref="C10:D10"/>
    <mergeCell ref="A19:B19"/>
    <mergeCell ref="D17:E17"/>
    <mergeCell ref="C15:H15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Vanila IRS Valuation</vt:lpstr>
      <vt:lpstr>CDS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2022-07-21T06:33:49Z</dcterms:created>
  <dcterms:modified xsi:type="dcterms:W3CDTF">2022-07-23T12:15:47Z</dcterms:modified>
</cp:coreProperties>
</file>