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857EFA7-8FBE-4ACD-9E28-D9F4062CBFCB}" xr6:coauthVersionLast="47" xr6:coauthVersionMax="47" xr10:uidLastSave="{00000000-0000-0000-0000-000000000000}"/>
  <bookViews>
    <workbookView xWindow="-108" yWindow="-108" windowWidth="23256" windowHeight="12456" activeTab="1" xr2:uid="{F46EF7FA-9169-46C5-A8EF-8F52025E3CA4}"/>
  </bookViews>
  <sheets>
    <sheet name="Worksheet1" sheetId="1" r:id="rId1"/>
    <sheet name="Worksheet2 " sheetId="2" r:id="rId2"/>
    <sheet name="Worksheet3" sheetId="4" r:id="rId3"/>
    <sheet name="Auxiliary Shee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C6" i="2"/>
  <c r="I5" i="2"/>
  <c r="H5" i="2"/>
  <c r="F5" i="2"/>
  <c r="E5" i="2"/>
  <c r="D5" i="2"/>
  <c r="C5" i="2"/>
  <c r="J4" i="2"/>
  <c r="I4" i="2"/>
  <c r="H4" i="2"/>
  <c r="F4" i="2"/>
  <c r="E4" i="2"/>
  <c r="D4" i="2"/>
  <c r="C4" i="2"/>
  <c r="H3" i="2"/>
  <c r="F3" i="2"/>
  <c r="E3" i="2"/>
  <c r="D3" i="2"/>
  <c r="C3" i="2"/>
  <c r="H2" i="2"/>
  <c r="F2" i="2"/>
  <c r="E2" i="2"/>
  <c r="D2" i="2"/>
  <c r="C2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G32" i="4"/>
  <c r="G23" i="4"/>
  <c r="C65" i="4"/>
  <c r="C64" i="4"/>
  <c r="C62" i="4"/>
  <c r="C59" i="4"/>
  <c r="C83" i="4" s="1"/>
  <c r="C58" i="4"/>
  <c r="C82" i="4" s="1"/>
  <c r="C56" i="4"/>
  <c r="C80" i="4" s="1"/>
  <c r="C53" i="4"/>
  <c r="C77" i="4" s="1"/>
  <c r="C52" i="4"/>
  <c r="C76" i="4" s="1"/>
  <c r="L5" i="1"/>
  <c r="N5" i="1" s="1"/>
  <c r="C54" i="4"/>
  <c r="C78" i="4" s="1"/>
  <c r="C55" i="4"/>
  <c r="C79" i="4" s="1"/>
  <c r="C57" i="4"/>
  <c r="C81" i="4" s="1"/>
  <c r="C60" i="4"/>
  <c r="C61" i="4"/>
  <c r="C63" i="4"/>
  <c r="C66" i="4"/>
  <c r="C43" i="4"/>
  <c r="C67" i="4" s="1"/>
  <c r="C44" i="4"/>
  <c r="C68" i="4" s="1"/>
  <c r="C45" i="4"/>
  <c r="C69" i="4" s="1"/>
  <c r="C46" i="4"/>
  <c r="C70" i="4" s="1"/>
  <c r="C47" i="4"/>
  <c r="C71" i="4" s="1"/>
  <c r="C48" i="4"/>
  <c r="C72" i="4" s="1"/>
  <c r="C49" i="4"/>
  <c r="C50" i="4"/>
  <c r="C73" i="4"/>
  <c r="C74" i="4"/>
  <c r="C51" i="4"/>
  <c r="C75" i="4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" i="1"/>
  <c r="L10" i="1"/>
  <c r="N10" i="1" s="1"/>
  <c r="L16" i="1"/>
  <c r="N16" i="1" s="1"/>
  <c r="L22" i="1"/>
  <c r="N22" i="1" s="1"/>
  <c r="L28" i="1"/>
  <c r="N28" i="1" s="1"/>
  <c r="L34" i="1"/>
  <c r="N34" i="1" s="1"/>
  <c r="E6" i="2" l="1"/>
  <c r="D6" i="2"/>
  <c r="F6" i="2"/>
  <c r="J5" i="2"/>
  <c r="H6" i="2"/>
  <c r="L27" i="1"/>
  <c r="L21" i="1"/>
  <c r="N21" i="1" s="1"/>
  <c r="L15" i="1"/>
  <c r="L4" i="1"/>
  <c r="N4" i="1" s="1"/>
  <c r="L26" i="1"/>
  <c r="N26" i="1" s="1"/>
  <c r="L14" i="1"/>
  <c r="N14" i="1" s="1"/>
  <c r="L37" i="1"/>
  <c r="N37" i="1" s="1"/>
  <c r="L31" i="1"/>
  <c r="N31" i="1" s="1"/>
  <c r="L25" i="1"/>
  <c r="N25" i="1" s="1"/>
  <c r="L19" i="1"/>
  <c r="N19" i="1" s="1"/>
  <c r="L13" i="1"/>
  <c r="N13" i="1" s="1"/>
  <c r="L7" i="1"/>
  <c r="N7" i="1" s="1"/>
  <c r="L33" i="1"/>
  <c r="N33" i="1" s="1"/>
  <c r="L9" i="1"/>
  <c r="N9" i="1" s="1"/>
  <c r="L32" i="1"/>
  <c r="N32" i="1" s="1"/>
  <c r="L20" i="1"/>
  <c r="N20" i="1" s="1"/>
  <c r="L8" i="1"/>
  <c r="N8" i="1" s="1"/>
  <c r="L36" i="1"/>
  <c r="N36" i="1" s="1"/>
  <c r="L30" i="1"/>
  <c r="N30" i="1" s="1"/>
  <c r="L24" i="1"/>
  <c r="N24" i="1" s="1"/>
  <c r="L18" i="1"/>
  <c r="N18" i="1" s="1"/>
  <c r="L12" i="1"/>
  <c r="N12" i="1" s="1"/>
  <c r="L6" i="1"/>
  <c r="N6" i="1" s="1"/>
  <c r="L35" i="1"/>
  <c r="N35" i="1" s="1"/>
  <c r="L29" i="1"/>
  <c r="N29" i="1" s="1"/>
  <c r="L23" i="1"/>
  <c r="L17" i="1"/>
  <c r="N17" i="1" s="1"/>
  <c r="L11" i="1"/>
  <c r="N11" i="1" s="1"/>
  <c r="I3" i="2"/>
  <c r="N27" i="1" l="1"/>
  <c r="I2" i="2"/>
  <c r="I6" i="2" s="1"/>
  <c r="N15" i="1"/>
  <c r="G5" i="2"/>
  <c r="N23" i="1"/>
  <c r="G4" i="2"/>
  <c r="G2" i="2"/>
  <c r="J2" i="2"/>
  <c r="J3" i="2"/>
  <c r="G3" i="2"/>
  <c r="G6" i="2" l="1"/>
  <c r="J6" i="2"/>
</calcChain>
</file>

<file path=xl/sharedStrings.xml><?xml version="1.0" encoding="utf-8"?>
<sst xmlns="http://schemas.openxmlformats.org/spreadsheetml/2006/main" count="477" uniqueCount="260">
  <si>
    <t>Applicant Details</t>
  </si>
  <si>
    <t>Ticket Details</t>
  </si>
  <si>
    <t>Personal</t>
  </si>
  <si>
    <t>Contacts</t>
  </si>
  <si>
    <t>Applicant Info</t>
  </si>
  <si>
    <t>Sitting Area</t>
  </si>
  <si>
    <t>Name</t>
  </si>
  <si>
    <t>Surname</t>
  </si>
  <si>
    <t>Address</t>
  </si>
  <si>
    <t>Contact</t>
  </si>
  <si>
    <t>Application ID</t>
  </si>
  <si>
    <t>Date</t>
  </si>
  <si>
    <t>Success Status (Yes/No)</t>
  </si>
  <si>
    <t>Requested Seating Area</t>
  </si>
  <si>
    <t>Allocated Seating Area</t>
  </si>
  <si>
    <t>Concession Type (Student/OAP)</t>
  </si>
  <si>
    <t>Price</t>
  </si>
  <si>
    <t>Expire Date DD/MM/YYYY</t>
  </si>
  <si>
    <t>Code Nol 000A</t>
  </si>
  <si>
    <t>Y</t>
  </si>
  <si>
    <t>S</t>
  </si>
  <si>
    <t>N</t>
  </si>
  <si>
    <t>Ticket Type</t>
  </si>
  <si>
    <t>Concession Type</t>
  </si>
  <si>
    <t>Total Applications</t>
  </si>
  <si>
    <t>Total UnProcessed</t>
  </si>
  <si>
    <t>Total Accepted</t>
  </si>
  <si>
    <t>Total Declines</t>
  </si>
  <si>
    <t>Total Cost Applications</t>
  </si>
  <si>
    <t>Total Cost UnProcessed</t>
  </si>
  <si>
    <t>Total Cost Accepted</t>
  </si>
  <si>
    <t>Total Cost Declined</t>
  </si>
  <si>
    <t xml:space="preserve">Adult </t>
  </si>
  <si>
    <t>None</t>
  </si>
  <si>
    <t>Child</t>
  </si>
  <si>
    <t>Concession</t>
  </si>
  <si>
    <t>Student</t>
  </si>
  <si>
    <t>Concessiom</t>
  </si>
  <si>
    <t>OAP</t>
  </si>
  <si>
    <t>Totals</t>
  </si>
  <si>
    <t>Seat Naming Details</t>
  </si>
  <si>
    <t>Capacity &amp; Availability</t>
  </si>
  <si>
    <t>Pricing</t>
  </si>
  <si>
    <t>Discounts</t>
  </si>
  <si>
    <t>Number</t>
  </si>
  <si>
    <t>Pole</t>
  </si>
  <si>
    <t>Type</t>
  </si>
  <si>
    <t>Seat Area Name</t>
  </si>
  <si>
    <t>Seat Area Aliase 1</t>
  </si>
  <si>
    <t>Seting Area Costing Aliase</t>
  </si>
  <si>
    <t xml:space="preserve">Capacity </t>
  </si>
  <si>
    <t>Seats Available</t>
  </si>
  <si>
    <t>Seat Price</t>
  </si>
  <si>
    <t>Ticket Price</t>
  </si>
  <si>
    <t>Age Restriction</t>
  </si>
  <si>
    <t>Disabled</t>
  </si>
  <si>
    <t>VIP</t>
  </si>
  <si>
    <t>VIP South</t>
  </si>
  <si>
    <t xml:space="preserve">Home VIP </t>
  </si>
  <si>
    <t xml:space="preserve">North South Range, VIP Seat </t>
  </si>
  <si>
    <t>VIP North</t>
  </si>
  <si>
    <t>Away VIP</t>
  </si>
  <si>
    <t>North Adult Normal</t>
  </si>
  <si>
    <t xml:space="preserve">Home Normal Adult </t>
  </si>
  <si>
    <t>North South Range,Normal Adult seat</t>
  </si>
  <si>
    <t>E</t>
  </si>
  <si>
    <t>East Adult Normal</t>
  </si>
  <si>
    <t xml:space="preserve">Away Normal Adult </t>
  </si>
  <si>
    <t>West East Range, Normal Adult Seat</t>
  </si>
  <si>
    <t xml:space="preserve">South Adult Normal </t>
  </si>
  <si>
    <t>North South Range, Normal Adult Seat</t>
  </si>
  <si>
    <t>W</t>
  </si>
  <si>
    <t>West Adult Normal</t>
  </si>
  <si>
    <t>Away Normal Adult</t>
  </si>
  <si>
    <t>West East Range, Normal Adult Seat Ext</t>
  </si>
  <si>
    <t>North Child Friendly</t>
  </si>
  <si>
    <t>Home Child Friendly</t>
  </si>
  <si>
    <t>North South Range, Child Friendly Seat</t>
  </si>
  <si>
    <t>East Child Friendly</t>
  </si>
  <si>
    <t>Away Child Friendly</t>
  </si>
  <si>
    <t>West East Range, Child Friendly Seat</t>
  </si>
  <si>
    <t>South Child Friendly</t>
  </si>
  <si>
    <t xml:space="preserve">Home Child friendly </t>
  </si>
  <si>
    <t>North South Range, Child friendly Seat</t>
  </si>
  <si>
    <t>West Child Friendly</t>
  </si>
  <si>
    <t>North Disabled</t>
  </si>
  <si>
    <t>Home Disabled</t>
  </si>
  <si>
    <t>North South Range, Disabled Seat</t>
  </si>
  <si>
    <t xml:space="preserve">East Disabled </t>
  </si>
  <si>
    <t>Away Disabled</t>
  </si>
  <si>
    <t>West East Range, Disabled Seat</t>
  </si>
  <si>
    <t>South Disabled</t>
  </si>
  <si>
    <t>West Disabled</t>
  </si>
  <si>
    <t>Capacity</t>
  </si>
  <si>
    <t>Notes</t>
  </si>
  <si>
    <r>
      <t>2.</t>
    </r>
    <r>
      <rPr>
        <b/>
        <sz val="11"/>
        <color theme="1"/>
        <rFont val="Calibri"/>
        <family val="2"/>
        <scheme val="minor"/>
      </rPr>
      <t xml:space="preserve"> Disability</t>
    </r>
    <r>
      <rPr>
        <sz val="11"/>
        <color theme="1"/>
        <rFont val="Calibri"/>
        <family val="2"/>
        <scheme val="minor"/>
      </rPr>
      <t xml:space="preserve"> Row 1 </t>
    </r>
    <r>
      <rPr>
        <b/>
        <sz val="11"/>
        <color theme="1"/>
        <rFont val="Calibri"/>
        <family val="2"/>
        <scheme val="minor"/>
      </rPr>
      <t>NSEW</t>
    </r>
  </si>
  <si>
    <r>
      <t xml:space="preserve">3. </t>
    </r>
    <r>
      <rPr>
        <b/>
        <sz val="11"/>
        <color theme="1"/>
        <rFont val="Calibri"/>
        <family val="2"/>
        <scheme val="minor"/>
      </rPr>
      <t>Child Friendly</t>
    </r>
    <r>
      <rPr>
        <sz val="11"/>
        <color theme="1"/>
        <rFont val="Calibri"/>
        <family val="2"/>
        <scheme val="minor"/>
      </rPr>
      <t xml:space="preserve"> 2 to 10</t>
    </r>
  </si>
  <si>
    <r>
      <t>4.</t>
    </r>
    <r>
      <rPr>
        <b/>
        <sz val="11"/>
        <color theme="1"/>
        <rFont val="Calibri"/>
        <family val="2"/>
        <scheme val="minor"/>
      </rPr>
      <t xml:space="preserve"> Normal Adult</t>
    </r>
    <r>
      <rPr>
        <sz val="11"/>
        <color theme="1"/>
        <rFont val="Calibri"/>
        <family val="2"/>
        <scheme val="minor"/>
      </rPr>
      <t xml:space="preserve"> 10 to 19, North and South, 11 to 30 East and West</t>
    </r>
  </si>
  <si>
    <r>
      <t xml:space="preserve">5. </t>
    </r>
    <r>
      <rPr>
        <b/>
        <sz val="11"/>
        <color theme="1"/>
        <rFont val="Calibri"/>
        <family val="2"/>
        <scheme val="minor"/>
      </rPr>
      <t>Columns North:</t>
    </r>
    <r>
      <rPr>
        <sz val="11"/>
        <color theme="1"/>
        <rFont val="Calibri"/>
        <family val="2"/>
        <scheme val="minor"/>
      </rPr>
      <t xml:space="preserve"> 50 </t>
    </r>
    <r>
      <rPr>
        <b/>
        <sz val="11"/>
        <color theme="1"/>
        <rFont val="Calibri"/>
        <family val="2"/>
        <scheme val="minor"/>
      </rPr>
      <t>South</t>
    </r>
    <r>
      <rPr>
        <sz val="11"/>
        <color theme="1"/>
        <rFont val="Calibri"/>
        <family val="2"/>
        <scheme val="minor"/>
      </rPr>
      <t xml:space="preserve">: 50 </t>
    </r>
    <r>
      <rPr>
        <b/>
        <sz val="11"/>
        <color theme="1"/>
        <rFont val="Calibri"/>
        <family val="2"/>
        <scheme val="minor"/>
      </rPr>
      <t>West:</t>
    </r>
    <r>
      <rPr>
        <sz val="11"/>
        <color theme="1"/>
        <rFont val="Calibri"/>
        <family val="2"/>
        <scheme val="minor"/>
      </rPr>
      <t xml:space="preserve"> 100 </t>
    </r>
    <r>
      <rPr>
        <b/>
        <sz val="11"/>
        <color theme="1"/>
        <rFont val="Calibri"/>
        <family val="2"/>
        <scheme val="minor"/>
      </rPr>
      <t>East</t>
    </r>
    <r>
      <rPr>
        <sz val="11"/>
        <color theme="1"/>
        <rFont val="Calibri"/>
        <family val="2"/>
        <scheme val="minor"/>
      </rPr>
      <t>: 100</t>
    </r>
  </si>
  <si>
    <r>
      <rPr>
        <sz val="11"/>
        <color rgb="FFC0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oordinates (N/W/S/E)</t>
    </r>
  </si>
  <si>
    <r>
      <rPr>
        <sz val="11"/>
        <color rgb="FFC0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ow (1-?)</t>
    </r>
  </si>
  <si>
    <r>
      <t>C</t>
    </r>
    <r>
      <rPr>
        <sz val="11"/>
        <color rgb="FFC0000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loum (1-?)</t>
    </r>
  </si>
  <si>
    <r>
      <rPr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ccessibility (Y/N)</t>
    </r>
  </si>
  <si>
    <r>
      <t>R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strictions (A/C)</t>
    </r>
  </si>
  <si>
    <r>
      <rPr>
        <sz val="11"/>
        <color rgb="FFC0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ype (Normal/VIP)</t>
    </r>
  </si>
  <si>
    <r>
      <t>Seat ID                (</t>
    </r>
    <r>
      <rPr>
        <sz val="11"/>
        <color rgb="FFC00000"/>
        <rFont val="Calibri"/>
        <family val="2"/>
        <scheme val="minor"/>
      </rPr>
      <t>C-R-O-A-E-T</t>
    </r>
    <r>
      <rPr>
        <sz val="11"/>
        <color theme="1"/>
        <rFont val="Calibri"/>
        <family val="2"/>
        <scheme val="minor"/>
      </rPr>
      <t>)</t>
    </r>
  </si>
  <si>
    <t>AppID</t>
  </si>
  <si>
    <t>Allocation ID</t>
  </si>
  <si>
    <t>Seat ID</t>
  </si>
  <si>
    <t>Status (Booked/Cancelled)</t>
  </si>
  <si>
    <t>Luton</t>
  </si>
  <si>
    <t>Bedford</t>
  </si>
  <si>
    <t>Max</t>
  </si>
  <si>
    <t>Samen</t>
  </si>
  <si>
    <t>Mike</t>
  </si>
  <si>
    <t>Miller</t>
  </si>
  <si>
    <t>Maria</t>
  </si>
  <si>
    <t>whitehill</t>
  </si>
  <si>
    <t>London</t>
  </si>
  <si>
    <t>Jacob</t>
  </si>
  <si>
    <t>tisons</t>
  </si>
  <si>
    <t>Anna</t>
  </si>
  <si>
    <t>Mason</t>
  </si>
  <si>
    <t xml:space="preserve">Jack </t>
  </si>
  <si>
    <t xml:space="preserve">Minas </t>
  </si>
  <si>
    <t>Tom</t>
  </si>
  <si>
    <t>Hogos</t>
  </si>
  <si>
    <t>Mostafa</t>
  </si>
  <si>
    <t xml:space="preserve">Ahmad </t>
  </si>
  <si>
    <t>Megan</t>
  </si>
  <si>
    <t>Simson</t>
  </si>
  <si>
    <t>Mohammad</t>
  </si>
  <si>
    <t>Ali</t>
  </si>
  <si>
    <t>Peter</t>
  </si>
  <si>
    <t>Grimor</t>
  </si>
  <si>
    <t>Tala</t>
  </si>
  <si>
    <t>Andrea</t>
  </si>
  <si>
    <t>Markos</t>
  </si>
  <si>
    <t>Andreo</t>
  </si>
  <si>
    <t>Lionsbis</t>
  </si>
  <si>
    <t>Lilly</t>
  </si>
  <si>
    <t>Walker</t>
  </si>
  <si>
    <t>Madison</t>
  </si>
  <si>
    <t>Jennifer</t>
  </si>
  <si>
    <t>Sam</t>
  </si>
  <si>
    <t>smithson</t>
  </si>
  <si>
    <t>Misha</t>
  </si>
  <si>
    <t>Nozokiso</t>
  </si>
  <si>
    <t>Lana</t>
  </si>
  <si>
    <t>Dilayla</t>
  </si>
  <si>
    <t>Selena</t>
  </si>
  <si>
    <t>Morfi</t>
  </si>
  <si>
    <t>Nicki</t>
  </si>
  <si>
    <t>Azzilla</t>
  </si>
  <si>
    <t>Prince</t>
  </si>
  <si>
    <t>David</t>
  </si>
  <si>
    <t>Lexo</t>
  </si>
  <si>
    <t>Samaneh</t>
  </si>
  <si>
    <t>Tika</t>
  </si>
  <si>
    <t>Fallen</t>
  </si>
  <si>
    <t>Woody</t>
  </si>
  <si>
    <t>Cyrus</t>
  </si>
  <si>
    <t>Seyed</t>
  </si>
  <si>
    <t>Mahya</t>
  </si>
  <si>
    <t>Nayer</t>
  </si>
  <si>
    <t xml:space="preserve">Athena </t>
  </si>
  <si>
    <t>Malagya</t>
  </si>
  <si>
    <t>Suzan</t>
  </si>
  <si>
    <t>Beechhill</t>
  </si>
  <si>
    <t>Kate</t>
  </si>
  <si>
    <t>Kamila</t>
  </si>
  <si>
    <t>Eve</t>
  </si>
  <si>
    <t>Liana</t>
  </si>
  <si>
    <t>Mikasa</t>
  </si>
  <si>
    <t>Youngho</t>
  </si>
  <si>
    <t>Sara</t>
  </si>
  <si>
    <t>Jacson</t>
  </si>
  <si>
    <t>Yasmin</t>
  </si>
  <si>
    <t>Fredrick</t>
  </si>
  <si>
    <t>Mana</t>
  </si>
  <si>
    <t>Heylo</t>
  </si>
  <si>
    <t>Dunstable</t>
  </si>
  <si>
    <t>Milan</t>
  </si>
  <si>
    <t>Leeds</t>
  </si>
  <si>
    <t>Bristol</t>
  </si>
  <si>
    <t>Millan</t>
  </si>
  <si>
    <t>Bradford</t>
  </si>
  <si>
    <t>Brighton</t>
  </si>
  <si>
    <t>Manchester</t>
  </si>
  <si>
    <t>Weels</t>
  </si>
  <si>
    <t>Nothingham</t>
  </si>
  <si>
    <t>Sheffield</t>
  </si>
  <si>
    <t>Liverpool</t>
  </si>
  <si>
    <t>Hitchin</t>
  </si>
  <si>
    <t>Ireland</t>
  </si>
  <si>
    <t>Scotland</t>
  </si>
  <si>
    <t>Adult</t>
  </si>
  <si>
    <t>Types  (Adult/Child/Concession)</t>
  </si>
  <si>
    <t>1. VIP Row 20 to 30 North and South</t>
  </si>
  <si>
    <t>student/concessiom</t>
  </si>
  <si>
    <t>Discount</t>
  </si>
  <si>
    <t>Price after Discount</t>
  </si>
  <si>
    <t>A</t>
  </si>
  <si>
    <t>C</t>
  </si>
  <si>
    <t>O</t>
  </si>
  <si>
    <t>NA</t>
  </si>
  <si>
    <t>ANE</t>
  </si>
  <si>
    <t>VIPS</t>
  </si>
  <si>
    <t>VIPN</t>
  </si>
  <si>
    <t>ANN</t>
  </si>
  <si>
    <t>ANS</t>
  </si>
  <si>
    <t>ANW</t>
  </si>
  <si>
    <t>CFN</t>
  </si>
  <si>
    <t>CFE</t>
  </si>
  <si>
    <t>CFS</t>
  </si>
  <si>
    <t>CFW</t>
  </si>
  <si>
    <t>DisN</t>
  </si>
  <si>
    <t>DisE</t>
  </si>
  <si>
    <t>DisS</t>
  </si>
  <si>
    <t>DisW</t>
  </si>
  <si>
    <t>Seating Area</t>
  </si>
  <si>
    <t>Discount/consesion</t>
  </si>
  <si>
    <t>D</t>
  </si>
  <si>
    <t>Home season Matches</t>
  </si>
  <si>
    <t>Away season Matches</t>
  </si>
  <si>
    <t>Total games for season</t>
  </si>
  <si>
    <t>A-454959</t>
  </si>
  <si>
    <t>C-564585</t>
  </si>
  <si>
    <t>S-459686</t>
  </si>
  <si>
    <t>W-7865245</t>
  </si>
  <si>
    <t>R-563548</t>
  </si>
  <si>
    <t>Q-964525</t>
  </si>
  <si>
    <t>V-789632</t>
  </si>
  <si>
    <t>F-456321</t>
  </si>
  <si>
    <t>B-564525</t>
  </si>
  <si>
    <t>T-663355</t>
  </si>
  <si>
    <t>Y-969988</t>
  </si>
  <si>
    <t>Z-445511</t>
  </si>
  <si>
    <t>N-1236478</t>
  </si>
  <si>
    <t>M-45658525</t>
  </si>
  <si>
    <t>E-887722</t>
  </si>
  <si>
    <t>U-654571</t>
  </si>
  <si>
    <t>P-4752125</t>
  </si>
  <si>
    <t>L-456585</t>
  </si>
  <si>
    <t>SD-45258631</t>
  </si>
  <si>
    <t>AS-554422</t>
  </si>
  <si>
    <t>CV-459933</t>
  </si>
  <si>
    <t>MB-12121</t>
  </si>
  <si>
    <t>RE-854525</t>
  </si>
  <si>
    <t>RF-4536965</t>
  </si>
  <si>
    <t>EW-447711</t>
  </si>
  <si>
    <t>QW-338866</t>
  </si>
  <si>
    <t>ER-69965665</t>
  </si>
  <si>
    <t>SX-477414</t>
  </si>
  <si>
    <t>DC-457414</t>
  </si>
  <si>
    <t>XC-88997744</t>
  </si>
  <si>
    <t>OL-4477123</t>
  </si>
  <si>
    <t>TG-456789</t>
  </si>
  <si>
    <t>BV-123654</t>
  </si>
  <si>
    <t>G-258963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</si>
</sst>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C00000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7D05C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2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164" fontId="0" fillId="0" borderId="0" xfId="0" applyNumberFormat="1"/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0" borderId="11" xfId="0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0" fillId="7" borderId="5" xfId="0" applyFill="1" applyBorder="1" applyAlignment="1">
      <alignment vertical="center" wrapText="1"/>
    </xf>
    <xf numFmtId="0" fontId="0" fillId="7" borderId="5" xfId="0" applyFill="1" applyBorder="1"/>
    <xf numFmtId="0" fontId="3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  <xf numFmtId="164" fontId="2" fillId="7" borderId="5" xfId="0" applyNumberFormat="1" applyFont="1" applyFill="1" applyBorder="1" applyAlignment="1">
      <alignment horizont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wrapText="1"/>
    </xf>
    <xf numFmtId="0" fontId="0" fillId="7" borderId="5" xfId="0" applyFill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7" borderId="18" xfId="0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6" borderId="5" xfId="0" applyFill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0" fontId="0" fillId="0" borderId="22" xfId="0" applyBorder="1"/>
    <xf numFmtId="0" fontId="0" fillId="9" borderId="3" xfId="0" applyFill="1" applyBorder="1"/>
    <xf numFmtId="0" fontId="0" fillId="0" borderId="1" xfId="0" applyBorder="1"/>
    <xf numFmtId="0" fontId="2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14" xfId="0" applyBorder="1" applyAlignment="1">
      <alignment vertical="top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D05C"/>
      <color rgb="FFFF3B3B"/>
      <color rgb="FF000000"/>
      <color rgb="FF15AF15"/>
      <color rgb="FF23E5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'Worksheet2 '!$B$1</c:f>
              <c:strCache>
                <c:ptCount val="1"/>
                <c:pt idx="0">
                  <c:v>Concession Type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'Worksheet2 '!$A$2:$A$6</c:f>
              <c:strCache>
                <c:ptCount val="5"/>
                <c:pt idx="0">
                  <c:v>Adult </c:v>
                </c:pt>
                <c:pt idx="1">
                  <c:v>Child</c:v>
                </c:pt>
                <c:pt idx="2">
                  <c:v>Concession</c:v>
                </c:pt>
                <c:pt idx="3">
                  <c:v>Concessiom</c:v>
                </c:pt>
                <c:pt idx="4">
                  <c:v>Totals</c:v>
                </c:pt>
              </c:strCache>
            </c:strRef>
          </c:cat>
          <c:val>
            <c:numRef>
              <c:f>'Worksheet2 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70F-8453-5827AC44ECA2}"/>
            </c:ext>
          </c:extLst>
        </c:ser>
        <c:ser>
          <c:idx val="1"/>
          <c:order val="1"/>
          <c:tx>
            <c:strRef>
              <c:f>'Worksheet2 '!$C$1</c:f>
              <c:strCache>
                <c:ptCount val="1"/>
                <c:pt idx="0">
                  <c:v>Total Applications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'Worksheet2 '!$A$2:$A$6</c:f>
              <c:strCache>
                <c:ptCount val="5"/>
                <c:pt idx="0">
                  <c:v>Adult </c:v>
                </c:pt>
                <c:pt idx="1">
                  <c:v>Child</c:v>
                </c:pt>
                <c:pt idx="2">
                  <c:v>Concession</c:v>
                </c:pt>
                <c:pt idx="3">
                  <c:v>Concessiom</c:v>
                </c:pt>
                <c:pt idx="4">
                  <c:v>Totals</c:v>
                </c:pt>
              </c:strCache>
            </c:strRef>
          </c:cat>
          <c:val>
            <c:numRef>
              <c:f>'Worksheet2 '!$C$2:$C$6</c:f>
              <c:numCache>
                <c:formatCode>General</c:formatCode>
                <c:ptCount val="5"/>
                <c:pt idx="0">
                  <c:v>18</c:v>
                </c:pt>
                <c:pt idx="1">
                  <c:v>5</c:v>
                </c:pt>
                <c:pt idx="2">
                  <c:v>15</c:v>
                </c:pt>
                <c:pt idx="3">
                  <c:v>19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5-470F-8453-5827AC44ECA2}"/>
            </c:ext>
          </c:extLst>
        </c:ser>
        <c:ser>
          <c:idx val="2"/>
          <c:order val="2"/>
          <c:tx>
            <c:strRef>
              <c:f>'Worksheet2 '!$D$1</c:f>
              <c:strCache>
                <c:ptCount val="1"/>
                <c:pt idx="0">
                  <c:v>Total UnProcessed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'Worksheet2 '!$A$2:$A$6</c:f>
              <c:strCache>
                <c:ptCount val="5"/>
                <c:pt idx="0">
                  <c:v>Adult </c:v>
                </c:pt>
                <c:pt idx="1">
                  <c:v>Child</c:v>
                </c:pt>
                <c:pt idx="2">
                  <c:v>Concession</c:v>
                </c:pt>
                <c:pt idx="3">
                  <c:v>Concessiom</c:v>
                </c:pt>
                <c:pt idx="4">
                  <c:v>Totals</c:v>
                </c:pt>
              </c:strCache>
            </c:strRef>
          </c:cat>
          <c:val>
            <c:numRef>
              <c:f>'Worksheet2 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5-470F-8453-5827AC44EC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29661999"/>
        <c:axId val="1975550319"/>
      </c:barChart>
      <c:catAx>
        <c:axId val="20296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0319"/>
        <c:crosses val="autoZero"/>
        <c:auto val="1"/>
        <c:lblAlgn val="ctr"/>
        <c:lblOffset val="100"/>
        <c:noMultiLvlLbl val="0"/>
      </c:catAx>
      <c:valAx>
        <c:axId val="197555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'Worksheet2 '!$A$2</c:f>
              <c:strCache>
                <c:ptCount val="1"/>
                <c:pt idx="0">
                  <c:v>Adult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'Worksheet2 '!$F$1:$G$1</c:f>
              <c:strCache>
                <c:ptCount val="2"/>
                <c:pt idx="0">
                  <c:v>Total Declines</c:v>
                </c:pt>
                <c:pt idx="1">
                  <c:v>Total Cost Applications</c:v>
                </c:pt>
              </c:strCache>
            </c:strRef>
          </c:cat>
          <c:val>
            <c:numRef>
              <c:f>'Worksheet2 '!$F$2:$G$2</c:f>
              <c:numCache>
                <c:formatCode>"£"#,##0_);[Red]\("£"#,##0\)</c:formatCode>
                <c:ptCount val="2"/>
                <c:pt idx="0" formatCode="General">
                  <c:v>11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44B1-8E7D-646350E2967F}"/>
            </c:ext>
          </c:extLst>
        </c:ser>
        <c:ser>
          <c:idx val="1"/>
          <c:order val="1"/>
          <c:tx>
            <c:strRef>
              <c:f>'Worksheet2 '!$A$3</c:f>
              <c:strCache>
                <c:ptCount val="1"/>
                <c:pt idx="0">
                  <c:v>Child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'Worksheet2 '!$F$1:$G$1</c:f>
              <c:strCache>
                <c:ptCount val="2"/>
                <c:pt idx="0">
                  <c:v>Total Declines</c:v>
                </c:pt>
                <c:pt idx="1">
                  <c:v>Total Cost Applications</c:v>
                </c:pt>
              </c:strCache>
            </c:strRef>
          </c:cat>
          <c:val>
            <c:numRef>
              <c:f>'Worksheet2 '!$F$3:$G$3</c:f>
              <c:numCache>
                <c:formatCode>General</c:formatCode>
                <c:ptCount val="2"/>
                <c:pt idx="0">
                  <c:v>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44B1-8E7D-646350E2967F}"/>
            </c:ext>
          </c:extLst>
        </c:ser>
        <c:ser>
          <c:idx val="2"/>
          <c:order val="2"/>
          <c:tx>
            <c:strRef>
              <c:f>'Worksheet2 '!$A$4</c:f>
              <c:strCache>
                <c:ptCount val="1"/>
                <c:pt idx="0">
                  <c:v>Concession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'Worksheet2 '!$F$1:$G$1</c:f>
              <c:strCache>
                <c:ptCount val="2"/>
                <c:pt idx="0">
                  <c:v>Total Declines</c:v>
                </c:pt>
                <c:pt idx="1">
                  <c:v>Total Cost Applications</c:v>
                </c:pt>
              </c:strCache>
            </c:strRef>
          </c:cat>
          <c:val>
            <c:numRef>
              <c:f>'Worksheet2 '!$F$4:$G$4</c:f>
              <c:numCache>
                <c:formatCode>General</c:formatCode>
                <c:ptCount val="2"/>
                <c:pt idx="0">
                  <c:v>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44B1-8E7D-646350E2967F}"/>
            </c:ext>
          </c:extLst>
        </c:ser>
        <c:ser>
          <c:idx val="3"/>
          <c:order val="3"/>
          <c:tx>
            <c:strRef>
              <c:f>'Worksheet2 '!$A$5</c:f>
              <c:strCache>
                <c:ptCount val="1"/>
                <c:pt idx="0">
                  <c:v>Concessiom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'Worksheet2 '!$F$1:$G$1</c:f>
              <c:strCache>
                <c:ptCount val="2"/>
                <c:pt idx="0">
                  <c:v>Total Declines</c:v>
                </c:pt>
                <c:pt idx="1">
                  <c:v>Total Cost Applications</c:v>
                </c:pt>
              </c:strCache>
            </c:strRef>
          </c:cat>
          <c:val>
            <c:numRef>
              <c:f>'Worksheet2 '!$F$5:$G$5</c:f>
              <c:numCache>
                <c:formatCode>General</c:formatCode>
                <c:ptCount val="2"/>
                <c:pt idx="0">
                  <c:v>2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2-44B1-8E7D-646350E2967F}"/>
            </c:ext>
          </c:extLst>
        </c:ser>
        <c:ser>
          <c:idx val="4"/>
          <c:order val="4"/>
          <c:tx>
            <c:strRef>
              <c:f>'Worksheet2 '!$A$6</c:f>
              <c:strCache>
                <c:ptCount val="1"/>
                <c:pt idx="0">
                  <c:v>Totals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'Worksheet2 '!$F$1:$G$1</c:f>
              <c:strCache>
                <c:ptCount val="2"/>
                <c:pt idx="0">
                  <c:v>Total Declines</c:v>
                </c:pt>
                <c:pt idx="1">
                  <c:v>Total Cost Applications</c:v>
                </c:pt>
              </c:strCache>
            </c:strRef>
          </c:cat>
          <c:val>
            <c:numRef>
              <c:f>'Worksheet2 '!$F$6:$G$6</c:f>
              <c:numCache>
                <c:formatCode>General</c:formatCode>
                <c:ptCount val="2"/>
                <c:pt idx="0">
                  <c:v>17</c:v>
                </c:pt>
                <c:pt idx="1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2-44B1-8E7D-646350E2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501247"/>
        <c:axId val="119443887"/>
      </c:barChart>
      <c:catAx>
        <c:axId val="20365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887"/>
        <c:crosses val="autoZero"/>
        <c:auto val="1"/>
        <c:lblAlgn val="ctr"/>
        <c:lblOffset val="100"/>
        <c:noMultiLvlLbl val="0"/>
      </c:catAx>
      <c:valAx>
        <c:axId val="1194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14</xdr:row>
      <xdr:rowOff>80962</xdr:rowOff>
    </xdr:from>
    <xdr:to>
      <xdr:col>5</xdr:col>
      <xdr:colOff>133350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73FA-D675-464B-8A3F-76EB6C5FA6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885825</xdr:colOff>
      <xdr:row>13</xdr:row>
      <xdr:rowOff>176212</xdr:rowOff>
    </xdr:from>
    <xdr:to>
      <xdr:col>11</xdr:col>
      <xdr:colOff>238125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1A481-4F8B-4B6E-8932-00437ABC3A4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D452-CAA8-43E3-8FF7-9FCFF56FFA24}">
  <dimension ref="A1:AB38"/>
  <sheetViews>
    <sheetView zoomScale="96" zoomScaleNormal="96" workbookViewId="0">
      <selection activeCell="D8" sqref="D8"/>
    </sheetView>
  </sheetViews>
  <sheetFormatPr defaultRowHeight="14.4" x14ac:dyDescent="0.3"/>
  <cols>
    <col min="1" max="9" width="15.6640625" customWidth="1"/>
    <col min="10" max="10" width="24.33203125" style="10" customWidth="1"/>
    <col min="11" max="11" width="13.109375" style="10" customWidth="1"/>
    <col min="12" max="13" width="15.6640625" customWidth="1"/>
    <col min="14" max="14" width="17.44140625" customWidth="1"/>
    <col min="15" max="16" width="15.6640625" customWidth="1"/>
    <col min="24" max="24" width="21.44140625" customWidth="1"/>
    <col min="28" max="28" width="14.109375" customWidth="1"/>
  </cols>
  <sheetData>
    <row r="1" spans="1:28" ht="15" thickBot="1" x14ac:dyDescent="0.35">
      <c r="A1" s="77" t="s">
        <v>0</v>
      </c>
      <c r="B1" s="77"/>
      <c r="C1" s="77"/>
      <c r="D1" s="77"/>
      <c r="E1" s="6"/>
      <c r="F1" s="77" t="s">
        <v>0</v>
      </c>
      <c r="G1" s="77"/>
      <c r="H1" s="77"/>
      <c r="I1" s="77"/>
      <c r="J1" s="77" t="s">
        <v>1</v>
      </c>
      <c r="K1" s="77"/>
      <c r="L1" s="77"/>
      <c r="M1" s="77"/>
      <c r="N1" s="77"/>
      <c r="O1" s="77"/>
      <c r="P1" s="77"/>
    </row>
    <row r="2" spans="1:28" ht="15" thickBot="1" x14ac:dyDescent="0.35">
      <c r="A2" s="78" t="s">
        <v>2</v>
      </c>
      <c r="B2" s="78"/>
      <c r="C2" s="78" t="s">
        <v>3</v>
      </c>
      <c r="D2" s="78"/>
      <c r="E2" s="5"/>
      <c r="F2" s="78" t="s">
        <v>4</v>
      </c>
      <c r="G2" s="78"/>
      <c r="H2" s="78" t="s">
        <v>5</v>
      </c>
      <c r="I2" s="78"/>
      <c r="J2" s="78"/>
      <c r="K2" s="78"/>
      <c r="L2" s="78"/>
      <c r="M2" s="5"/>
      <c r="N2" s="5"/>
      <c r="O2" s="78"/>
      <c r="P2" s="78"/>
    </row>
    <row r="3" spans="1:28" ht="43.8" thickBot="1" x14ac:dyDescent="0.35">
      <c r="A3" s="50" t="s">
        <v>6</v>
      </c>
      <c r="B3" s="50" t="s">
        <v>7</v>
      </c>
      <c r="C3" s="50" t="s">
        <v>8</v>
      </c>
      <c r="D3" s="50" t="s">
        <v>9</v>
      </c>
      <c r="E3" s="9" t="s">
        <v>10</v>
      </c>
      <c r="F3" s="33" t="s">
        <v>11</v>
      </c>
      <c r="G3" s="34" t="s">
        <v>12</v>
      </c>
      <c r="H3" s="34" t="s">
        <v>13</v>
      </c>
      <c r="I3" s="34" t="s">
        <v>14</v>
      </c>
      <c r="J3" s="34" t="s">
        <v>197</v>
      </c>
      <c r="K3" s="35" t="s">
        <v>15</v>
      </c>
      <c r="L3" s="33" t="s">
        <v>16</v>
      </c>
      <c r="M3" s="33" t="s">
        <v>200</v>
      </c>
      <c r="N3" s="33" t="s">
        <v>201</v>
      </c>
      <c r="O3" s="34" t="s">
        <v>17</v>
      </c>
      <c r="P3" s="34" t="s">
        <v>18</v>
      </c>
      <c r="X3" s="74" t="s">
        <v>53</v>
      </c>
      <c r="Y3" s="75"/>
      <c r="Z3" s="76"/>
      <c r="AB3" s="68" t="s">
        <v>220</v>
      </c>
    </row>
    <row r="4" spans="1:28" ht="15" thickBot="1" x14ac:dyDescent="0.35">
      <c r="A4" s="15" t="s">
        <v>112</v>
      </c>
      <c r="B4" s="27" t="s">
        <v>113</v>
      </c>
      <c r="C4" s="2" t="s">
        <v>110</v>
      </c>
      <c r="D4" s="52">
        <v>225365</v>
      </c>
      <c r="E4" s="49" t="s">
        <v>226</v>
      </c>
      <c r="F4" s="58">
        <v>45069</v>
      </c>
      <c r="G4" s="1" t="s">
        <v>19</v>
      </c>
      <c r="H4" s="1" t="str">
        <f>I4</f>
        <v>VIPS</v>
      </c>
      <c r="I4" s="19" t="s">
        <v>207</v>
      </c>
      <c r="J4" s="3" t="s">
        <v>202</v>
      </c>
      <c r="K4" s="3" t="s">
        <v>204</v>
      </c>
      <c r="L4" s="55">
        <f>IF(OR(I4=AB$4,I4=AB$5),Z$6,(IF(OR(I4=AB$6,I4=AB$7,I4=AB$8,I4=AB$10,I4=AB$11,I4=AB$12,I4=AB$13,I4=AB$14,I4=AB$15,I4=AB$16,I4=AB$17,I4=AB$18,I4=AB$9),Z$7,0)))</f>
        <v>40</v>
      </c>
      <c r="M4" s="55">
        <f>(IF(K4="C",Z$10,(IF(K4="S",Z$11,(IF(K4="O",Z$12,(IF(K4="D",Z$13,0))))))))</f>
        <v>20</v>
      </c>
      <c r="N4" s="55">
        <f>(100-(IF(K4="C",Z$10,(IF(K4="S",Z$11,(IF(K4="O",Z$12,(IF(K4="D",Z$13,Z$14)))))))))/100*L4</f>
        <v>32</v>
      </c>
      <c r="O4" s="1"/>
      <c r="P4" s="1"/>
      <c r="X4" s="5"/>
      <c r="Y4" s="5" t="s">
        <v>206</v>
      </c>
      <c r="Z4" s="69">
        <v>40</v>
      </c>
      <c r="AB4" s="7" t="s">
        <v>207</v>
      </c>
    </row>
    <row r="5" spans="1:28" ht="15" thickBot="1" x14ac:dyDescent="0.35">
      <c r="A5" s="51" t="s">
        <v>114</v>
      </c>
      <c r="B5" s="51" t="s">
        <v>115</v>
      </c>
      <c r="C5" s="51" t="s">
        <v>111</v>
      </c>
      <c r="D5" s="51">
        <v>562601</v>
      </c>
      <c r="E5" s="49" t="s">
        <v>227</v>
      </c>
      <c r="F5" s="59">
        <v>45069</v>
      </c>
      <c r="G5" s="2" t="s">
        <v>19</v>
      </c>
      <c r="H5" s="2" t="str">
        <f t="shared" ref="H5:H37" si="0">I5</f>
        <v>VIPS</v>
      </c>
      <c r="I5" s="19" t="s">
        <v>207</v>
      </c>
      <c r="J5" s="4" t="s">
        <v>202</v>
      </c>
      <c r="K5" s="4" t="s">
        <v>204</v>
      </c>
      <c r="L5" s="56">
        <f t="shared" ref="L5:L37" si="1">IF(OR(I5=AB$4,I5=AB$5),Z$6,(IF(OR(I5=AB$6,I5=AB$7,I5=AB$8,I5=AB$10,I5=AB$11,I5=AB$12,I5=AB$13,I5=AB$14,I5=AB$15,I5=AB$16,I5=AB$17,I5=AB$18,I5=AB$9),Z$7,0)))</f>
        <v>40</v>
      </c>
      <c r="M5" s="56">
        <f t="shared" ref="M5:M37" si="2">(IF(K5="C",Z$10,(IF(K5="S",Z$11,(IF(K5="O",Z$12,(IF(K5="D",Z$13,0))))))))</f>
        <v>20</v>
      </c>
      <c r="N5" s="56">
        <f t="shared" ref="N5:N37" si="3">(100-(IF(K5="C",Z$10,(IF(K5="S",Z$11,(IF(K5="O",Z$12,(IF(K5="D",Z$13,Z$14)))))))))/100*L5</f>
        <v>32</v>
      </c>
      <c r="O5" s="2"/>
      <c r="P5" s="2"/>
      <c r="X5" s="5"/>
      <c r="Y5" s="5"/>
      <c r="Z5" s="69"/>
      <c r="AB5" s="7" t="s">
        <v>208</v>
      </c>
    </row>
    <row r="6" spans="1:28" ht="15" thickBot="1" x14ac:dyDescent="0.35">
      <c r="A6" s="2" t="s">
        <v>116</v>
      </c>
      <c r="B6" s="2" t="s">
        <v>117</v>
      </c>
      <c r="C6" s="2" t="s">
        <v>118</v>
      </c>
      <c r="D6" s="2">
        <v>165316</v>
      </c>
      <c r="E6" s="49" t="s">
        <v>228</v>
      </c>
      <c r="F6" s="59">
        <v>45069</v>
      </c>
      <c r="G6" s="2" t="s">
        <v>21</v>
      </c>
      <c r="H6" s="2" t="str">
        <f t="shared" si="0"/>
        <v>ANW</v>
      </c>
      <c r="I6" s="20" t="s">
        <v>211</v>
      </c>
      <c r="J6" s="4" t="s">
        <v>202</v>
      </c>
      <c r="K6" s="4" t="s">
        <v>204</v>
      </c>
      <c r="L6" s="56">
        <f t="shared" si="1"/>
        <v>20</v>
      </c>
      <c r="M6" s="56">
        <f t="shared" si="2"/>
        <v>20</v>
      </c>
      <c r="N6" s="56">
        <f t="shared" si="3"/>
        <v>16</v>
      </c>
      <c r="O6" s="2"/>
      <c r="P6" s="2"/>
      <c r="X6" s="5" t="s">
        <v>56</v>
      </c>
      <c r="Y6" s="5" t="b">
        <v>1</v>
      </c>
      <c r="Z6" s="69">
        <v>40</v>
      </c>
      <c r="AB6" s="7" t="s">
        <v>209</v>
      </c>
    </row>
    <row r="7" spans="1:28" ht="15" thickBot="1" x14ac:dyDescent="0.35">
      <c r="A7" s="2" t="s">
        <v>119</v>
      </c>
      <c r="B7" s="2" t="s">
        <v>120</v>
      </c>
      <c r="C7" s="2" t="s">
        <v>181</v>
      </c>
      <c r="D7" s="2">
        <v>626626</v>
      </c>
      <c r="E7" s="49" t="s">
        <v>229</v>
      </c>
      <c r="F7" s="59">
        <v>45069</v>
      </c>
      <c r="G7" s="2" t="s">
        <v>19</v>
      </c>
      <c r="H7" s="2" t="str">
        <f t="shared" si="0"/>
        <v>DisW</v>
      </c>
      <c r="I7" s="54" t="s">
        <v>219</v>
      </c>
      <c r="J7" s="2" t="s">
        <v>21</v>
      </c>
      <c r="K7" s="2" t="s">
        <v>204</v>
      </c>
      <c r="L7" s="56">
        <f t="shared" si="1"/>
        <v>0</v>
      </c>
      <c r="M7" s="56">
        <f t="shared" si="2"/>
        <v>20</v>
      </c>
      <c r="N7" s="56">
        <f t="shared" si="3"/>
        <v>0</v>
      </c>
      <c r="O7" s="7"/>
      <c r="P7" s="7"/>
      <c r="X7" s="5" t="s">
        <v>205</v>
      </c>
      <c r="Y7" s="5" t="b">
        <v>0</v>
      </c>
      <c r="Z7" s="69">
        <v>20</v>
      </c>
      <c r="AB7" s="7" t="s">
        <v>206</v>
      </c>
    </row>
    <row r="8" spans="1:28" ht="15" thickBot="1" x14ac:dyDescent="0.35">
      <c r="A8" s="2" t="s">
        <v>121</v>
      </c>
      <c r="B8" s="2" t="s">
        <v>122</v>
      </c>
      <c r="C8" s="2" t="s">
        <v>182</v>
      </c>
      <c r="D8" s="2">
        <v>622323</v>
      </c>
      <c r="E8" s="49" t="s">
        <v>230</v>
      </c>
      <c r="F8" s="59">
        <v>45069</v>
      </c>
      <c r="G8" s="2" t="s">
        <v>19</v>
      </c>
      <c r="H8" s="2" t="str">
        <f t="shared" si="0"/>
        <v>DisW</v>
      </c>
      <c r="I8" s="54" t="s">
        <v>219</v>
      </c>
      <c r="J8" s="2" t="s">
        <v>21</v>
      </c>
      <c r="K8" s="2" t="s">
        <v>204</v>
      </c>
      <c r="L8" s="56">
        <f t="shared" si="1"/>
        <v>0</v>
      </c>
      <c r="M8" s="56">
        <f t="shared" si="2"/>
        <v>20</v>
      </c>
      <c r="N8" s="56">
        <f t="shared" si="3"/>
        <v>0</v>
      </c>
      <c r="O8" s="7"/>
      <c r="P8" s="7"/>
      <c r="AB8" s="7" t="s">
        <v>210</v>
      </c>
    </row>
    <row r="9" spans="1:28" ht="15" thickBot="1" x14ac:dyDescent="0.35">
      <c r="A9" s="2" t="s">
        <v>123</v>
      </c>
      <c r="B9" s="2" t="s">
        <v>124</v>
      </c>
      <c r="C9" s="2" t="s">
        <v>183</v>
      </c>
      <c r="D9" s="2">
        <v>55324832</v>
      </c>
      <c r="E9" s="49" t="s">
        <v>231</v>
      </c>
      <c r="F9" s="59">
        <v>45069</v>
      </c>
      <c r="G9" s="2" t="s">
        <v>19</v>
      </c>
      <c r="H9" s="2" t="str">
        <f t="shared" si="0"/>
        <v>DisW</v>
      </c>
      <c r="I9" s="54" t="s">
        <v>219</v>
      </c>
      <c r="J9" s="2" t="s">
        <v>21</v>
      </c>
      <c r="K9" s="2" t="s">
        <v>204</v>
      </c>
      <c r="L9" s="56">
        <f t="shared" si="1"/>
        <v>0</v>
      </c>
      <c r="M9" s="56">
        <f t="shared" si="2"/>
        <v>20</v>
      </c>
      <c r="N9" s="56">
        <f t="shared" si="3"/>
        <v>0</v>
      </c>
      <c r="O9" s="7"/>
      <c r="P9" s="7"/>
      <c r="X9" s="13" t="s">
        <v>221</v>
      </c>
      <c r="Y9" s="13"/>
      <c r="Z9" s="13"/>
      <c r="AB9" s="7" t="s">
        <v>211</v>
      </c>
    </row>
    <row r="10" spans="1:28" ht="15" thickBot="1" x14ac:dyDescent="0.35">
      <c r="A10" s="2" t="s">
        <v>125</v>
      </c>
      <c r="B10" s="2" t="s">
        <v>126</v>
      </c>
      <c r="C10" s="2" t="s">
        <v>184</v>
      </c>
      <c r="D10" s="2">
        <v>6215328</v>
      </c>
      <c r="E10" s="49" t="s">
        <v>232</v>
      </c>
      <c r="F10" s="59">
        <v>45069</v>
      </c>
      <c r="G10" s="2" t="s">
        <v>21</v>
      </c>
      <c r="H10" s="2" t="str">
        <f t="shared" si="0"/>
        <v>ANN</v>
      </c>
      <c r="I10" s="20" t="s">
        <v>209</v>
      </c>
      <c r="J10" s="2" t="s">
        <v>202</v>
      </c>
      <c r="K10" s="2" t="s">
        <v>20</v>
      </c>
      <c r="L10" s="56">
        <f t="shared" si="1"/>
        <v>20</v>
      </c>
      <c r="M10" s="56">
        <f t="shared" si="2"/>
        <v>15</v>
      </c>
      <c r="N10" s="56">
        <f t="shared" si="3"/>
        <v>17</v>
      </c>
      <c r="O10" s="7"/>
      <c r="P10" s="7"/>
      <c r="X10" s="13"/>
      <c r="Y10" s="13" t="s">
        <v>203</v>
      </c>
      <c r="Z10" s="13">
        <v>25</v>
      </c>
      <c r="AB10" s="7" t="s">
        <v>206</v>
      </c>
    </row>
    <row r="11" spans="1:28" ht="15" thickBot="1" x14ac:dyDescent="0.35">
      <c r="A11" s="2" t="s">
        <v>127</v>
      </c>
      <c r="B11" s="2" t="s">
        <v>128</v>
      </c>
      <c r="C11" s="2" t="s">
        <v>185</v>
      </c>
      <c r="D11" s="2">
        <v>153212832</v>
      </c>
      <c r="E11" s="49" t="s">
        <v>233</v>
      </c>
      <c r="F11" s="59">
        <v>45069</v>
      </c>
      <c r="G11" s="2" t="s">
        <v>19</v>
      </c>
      <c r="H11" s="2" t="str">
        <f t="shared" si="0"/>
        <v>ANS</v>
      </c>
      <c r="I11" s="20" t="s">
        <v>210</v>
      </c>
      <c r="J11" s="2" t="s">
        <v>202</v>
      </c>
      <c r="K11" s="2" t="s">
        <v>20</v>
      </c>
      <c r="L11" s="56">
        <f t="shared" si="1"/>
        <v>20</v>
      </c>
      <c r="M11" s="56">
        <f t="shared" si="2"/>
        <v>15</v>
      </c>
      <c r="N11" s="56">
        <f t="shared" si="3"/>
        <v>17</v>
      </c>
      <c r="O11" s="7"/>
      <c r="P11" s="7"/>
      <c r="X11" s="13"/>
      <c r="Y11" s="13" t="s">
        <v>20</v>
      </c>
      <c r="Z11" s="13">
        <v>15</v>
      </c>
      <c r="AB11" s="7" t="s">
        <v>211</v>
      </c>
    </row>
    <row r="12" spans="1:28" ht="15" thickBot="1" x14ac:dyDescent="0.35">
      <c r="A12" s="2" t="s">
        <v>129</v>
      </c>
      <c r="B12" s="2" t="s">
        <v>130</v>
      </c>
      <c r="C12" s="2" t="s">
        <v>186</v>
      </c>
      <c r="D12" s="2">
        <v>52132832</v>
      </c>
      <c r="E12" s="49" t="s">
        <v>234</v>
      </c>
      <c r="F12" s="59">
        <v>45069</v>
      </c>
      <c r="G12" s="2" t="s">
        <v>19</v>
      </c>
      <c r="H12" s="2" t="str">
        <f t="shared" si="0"/>
        <v>ANS</v>
      </c>
      <c r="I12" s="20" t="s">
        <v>210</v>
      </c>
      <c r="J12" s="2" t="s">
        <v>202</v>
      </c>
      <c r="K12" s="2" t="s">
        <v>20</v>
      </c>
      <c r="L12" s="56">
        <f t="shared" si="1"/>
        <v>20</v>
      </c>
      <c r="M12" s="56">
        <f t="shared" si="2"/>
        <v>15</v>
      </c>
      <c r="N12" s="56">
        <f t="shared" si="3"/>
        <v>17</v>
      </c>
      <c r="O12" s="7"/>
      <c r="P12" s="7"/>
      <c r="X12" s="13"/>
      <c r="Y12" s="13" t="s">
        <v>204</v>
      </c>
      <c r="Z12" s="13">
        <v>20</v>
      </c>
      <c r="AB12" s="7" t="s">
        <v>212</v>
      </c>
    </row>
    <row r="13" spans="1:28" ht="15" thickBot="1" x14ac:dyDescent="0.35">
      <c r="A13" s="2" t="s">
        <v>131</v>
      </c>
      <c r="B13" s="2" t="s">
        <v>132</v>
      </c>
      <c r="C13" s="2" t="s">
        <v>187</v>
      </c>
      <c r="D13" s="2">
        <v>599562959</v>
      </c>
      <c r="E13" s="49" t="s">
        <v>235</v>
      </c>
      <c r="F13" s="59">
        <v>45069</v>
      </c>
      <c r="G13" s="2" t="s">
        <v>19</v>
      </c>
      <c r="H13" s="2" t="str">
        <f t="shared" si="0"/>
        <v>VIPS</v>
      </c>
      <c r="I13" s="19" t="s">
        <v>207</v>
      </c>
      <c r="J13" s="2" t="s">
        <v>21</v>
      </c>
      <c r="K13" s="2" t="s">
        <v>204</v>
      </c>
      <c r="L13" s="56">
        <f t="shared" si="1"/>
        <v>40</v>
      </c>
      <c r="M13" s="56">
        <f t="shared" si="2"/>
        <v>20</v>
      </c>
      <c r="N13" s="56">
        <f t="shared" si="3"/>
        <v>32</v>
      </c>
      <c r="O13" s="7"/>
      <c r="P13" s="7"/>
      <c r="X13" s="13"/>
      <c r="Y13" s="13" t="s">
        <v>222</v>
      </c>
      <c r="Z13" s="13">
        <v>50</v>
      </c>
      <c r="AB13" s="7" t="s">
        <v>213</v>
      </c>
    </row>
    <row r="14" spans="1:28" ht="15" thickBot="1" x14ac:dyDescent="0.35">
      <c r="A14" s="2" t="s">
        <v>133</v>
      </c>
      <c r="B14" s="2" t="s">
        <v>134</v>
      </c>
      <c r="C14" s="2" t="s">
        <v>188</v>
      </c>
      <c r="D14" s="2">
        <v>95329559</v>
      </c>
      <c r="E14" s="49" t="s">
        <v>236</v>
      </c>
      <c r="F14" s="59">
        <v>45069</v>
      </c>
      <c r="G14" s="2" t="s">
        <v>19</v>
      </c>
      <c r="H14" s="2" t="str">
        <f t="shared" si="0"/>
        <v>ANW</v>
      </c>
      <c r="I14" s="20" t="s">
        <v>211</v>
      </c>
      <c r="J14" s="2" t="s">
        <v>21</v>
      </c>
      <c r="K14" s="2" t="s">
        <v>204</v>
      </c>
      <c r="L14" s="56">
        <f t="shared" si="1"/>
        <v>20</v>
      </c>
      <c r="M14" s="56">
        <f t="shared" si="2"/>
        <v>20</v>
      </c>
      <c r="N14" s="56">
        <f t="shared" si="3"/>
        <v>16</v>
      </c>
      <c r="O14" s="7"/>
      <c r="P14" s="7"/>
      <c r="X14" s="13"/>
      <c r="Y14" s="13"/>
      <c r="Z14" s="13">
        <v>0</v>
      </c>
      <c r="AB14" s="7" t="s">
        <v>214</v>
      </c>
    </row>
    <row r="15" spans="1:28" ht="15" thickBot="1" x14ac:dyDescent="0.35">
      <c r="A15" s="2" t="s">
        <v>135</v>
      </c>
      <c r="B15" s="2" t="s">
        <v>162</v>
      </c>
      <c r="C15" s="2" t="s">
        <v>189</v>
      </c>
      <c r="D15" s="2">
        <v>9566259</v>
      </c>
      <c r="E15" s="49" t="s">
        <v>237</v>
      </c>
      <c r="F15" s="59">
        <v>45069</v>
      </c>
      <c r="G15" s="2" t="s">
        <v>19</v>
      </c>
      <c r="H15" s="2" t="str">
        <f t="shared" si="0"/>
        <v>VIPS</v>
      </c>
      <c r="I15" s="19" t="s">
        <v>207</v>
      </c>
      <c r="J15" s="2" t="s">
        <v>21</v>
      </c>
      <c r="K15" s="2" t="s">
        <v>204</v>
      </c>
      <c r="L15" s="56">
        <f t="shared" si="1"/>
        <v>40</v>
      </c>
      <c r="M15" s="56">
        <f t="shared" si="2"/>
        <v>20</v>
      </c>
      <c r="N15" s="56">
        <f t="shared" si="3"/>
        <v>32</v>
      </c>
      <c r="O15" s="7"/>
      <c r="P15" s="7"/>
      <c r="AB15" s="7" t="s">
        <v>215</v>
      </c>
    </row>
    <row r="16" spans="1:28" ht="15" thickBot="1" x14ac:dyDescent="0.35">
      <c r="A16" s="2" t="s">
        <v>136</v>
      </c>
      <c r="B16" s="2" t="s">
        <v>137</v>
      </c>
      <c r="C16" s="2" t="s">
        <v>190</v>
      </c>
      <c r="D16" s="2">
        <v>95561285</v>
      </c>
      <c r="E16" s="49" t="s">
        <v>238</v>
      </c>
      <c r="F16" s="59">
        <v>45069</v>
      </c>
      <c r="G16" s="2" t="s">
        <v>19</v>
      </c>
      <c r="H16" s="2" t="str">
        <f t="shared" si="0"/>
        <v>ANW</v>
      </c>
      <c r="I16" s="20" t="s">
        <v>211</v>
      </c>
      <c r="J16" s="2" t="s">
        <v>21</v>
      </c>
      <c r="K16" s="2" t="s">
        <v>204</v>
      </c>
      <c r="L16" s="56">
        <f t="shared" si="1"/>
        <v>20</v>
      </c>
      <c r="M16" s="56">
        <f t="shared" si="2"/>
        <v>20</v>
      </c>
      <c r="N16" s="56">
        <f t="shared" si="3"/>
        <v>16</v>
      </c>
      <c r="O16" s="7"/>
      <c r="P16" s="7"/>
      <c r="AB16" s="7" t="s">
        <v>216</v>
      </c>
    </row>
    <row r="17" spans="1:28" ht="15" thickBot="1" x14ac:dyDescent="0.35">
      <c r="A17" s="2" t="s">
        <v>138</v>
      </c>
      <c r="B17" s="2" t="s">
        <v>139</v>
      </c>
      <c r="C17" s="2" t="s">
        <v>110</v>
      </c>
      <c r="D17" s="2">
        <v>629595263</v>
      </c>
      <c r="E17" s="49" t="s">
        <v>239</v>
      </c>
      <c r="F17" s="59">
        <v>45069</v>
      </c>
      <c r="G17" s="2" t="s">
        <v>21</v>
      </c>
      <c r="H17" s="2" t="str">
        <f t="shared" si="0"/>
        <v>ANS</v>
      </c>
      <c r="I17" s="20" t="s">
        <v>210</v>
      </c>
      <c r="J17" s="2" t="s">
        <v>202</v>
      </c>
      <c r="K17" s="2" t="s">
        <v>20</v>
      </c>
      <c r="L17" s="56">
        <f t="shared" si="1"/>
        <v>20</v>
      </c>
      <c r="M17" s="56">
        <f t="shared" si="2"/>
        <v>15</v>
      </c>
      <c r="N17" s="56">
        <f t="shared" si="3"/>
        <v>17</v>
      </c>
      <c r="O17" s="7"/>
      <c r="P17" s="7"/>
      <c r="AB17" s="7" t="s">
        <v>217</v>
      </c>
    </row>
    <row r="18" spans="1:28" ht="15" thickBot="1" x14ac:dyDescent="0.35">
      <c r="A18" s="2" t="s">
        <v>140</v>
      </c>
      <c r="B18" s="2" t="s">
        <v>141</v>
      </c>
      <c r="C18" s="2" t="s">
        <v>110</v>
      </c>
      <c r="D18" s="2">
        <v>95562926</v>
      </c>
      <c r="E18" s="49" t="s">
        <v>240</v>
      </c>
      <c r="F18" s="59">
        <v>45069</v>
      </c>
      <c r="G18" s="2" t="s">
        <v>21</v>
      </c>
      <c r="H18" s="2" t="str">
        <f t="shared" si="0"/>
        <v>ANS</v>
      </c>
      <c r="I18" s="20" t="s">
        <v>210</v>
      </c>
      <c r="J18" s="2" t="s">
        <v>202</v>
      </c>
      <c r="K18" s="2" t="s">
        <v>20</v>
      </c>
      <c r="L18" s="56">
        <f t="shared" si="1"/>
        <v>20</v>
      </c>
      <c r="M18" s="56">
        <f t="shared" si="2"/>
        <v>15</v>
      </c>
      <c r="N18" s="56">
        <f t="shared" si="3"/>
        <v>17</v>
      </c>
      <c r="O18" s="7"/>
      <c r="P18" s="7"/>
      <c r="AB18" s="7" t="s">
        <v>218</v>
      </c>
    </row>
    <row r="19" spans="1:28" ht="15" thickBot="1" x14ac:dyDescent="0.35">
      <c r="A19" s="2" t="s">
        <v>142</v>
      </c>
      <c r="B19" s="2" t="s">
        <v>161</v>
      </c>
      <c r="C19" s="2" t="s">
        <v>111</v>
      </c>
      <c r="D19" s="2">
        <v>95629595</v>
      </c>
      <c r="E19" s="49" t="s">
        <v>241</v>
      </c>
      <c r="F19" s="59">
        <v>45069</v>
      </c>
      <c r="G19" s="2" t="s">
        <v>21</v>
      </c>
      <c r="H19" s="2" t="str">
        <f t="shared" si="0"/>
        <v>ANW</v>
      </c>
      <c r="I19" s="20" t="s">
        <v>211</v>
      </c>
      <c r="J19" s="2" t="s">
        <v>202</v>
      </c>
      <c r="K19" s="2" t="s">
        <v>20</v>
      </c>
      <c r="L19" s="56">
        <f t="shared" si="1"/>
        <v>20</v>
      </c>
      <c r="M19" s="56">
        <f t="shared" si="2"/>
        <v>15</v>
      </c>
      <c r="N19" s="56">
        <f t="shared" si="3"/>
        <v>17</v>
      </c>
      <c r="O19" s="7"/>
      <c r="P19" s="7"/>
      <c r="AB19" s="8" t="s">
        <v>219</v>
      </c>
    </row>
    <row r="20" spans="1:28" ht="15" thickBot="1" x14ac:dyDescent="0.35">
      <c r="A20" s="2" t="s">
        <v>143</v>
      </c>
      <c r="B20" s="2" t="s">
        <v>160</v>
      </c>
      <c r="C20" s="2" t="s">
        <v>118</v>
      </c>
      <c r="D20" s="2">
        <v>95952954</v>
      </c>
      <c r="E20" s="49" t="s">
        <v>242</v>
      </c>
      <c r="F20" s="59">
        <v>45069</v>
      </c>
      <c r="G20" s="2" t="s">
        <v>21</v>
      </c>
      <c r="H20" s="2" t="str">
        <f t="shared" si="0"/>
        <v>ANS</v>
      </c>
      <c r="I20" s="20" t="s">
        <v>210</v>
      </c>
      <c r="J20" s="2" t="s">
        <v>202</v>
      </c>
      <c r="K20" s="2" t="s">
        <v>20</v>
      </c>
      <c r="L20" s="56">
        <f t="shared" si="1"/>
        <v>20</v>
      </c>
      <c r="M20" s="56">
        <f t="shared" si="2"/>
        <v>15</v>
      </c>
      <c r="N20" s="56">
        <f t="shared" si="3"/>
        <v>17</v>
      </c>
      <c r="O20" s="7"/>
      <c r="P20" s="7"/>
    </row>
    <row r="21" spans="1:28" ht="15" thickBot="1" x14ac:dyDescent="0.35">
      <c r="A21" s="2" t="s">
        <v>144</v>
      </c>
      <c r="B21" s="2" t="s">
        <v>145</v>
      </c>
      <c r="C21" s="2" t="s">
        <v>118</v>
      </c>
      <c r="D21" s="2">
        <v>2956594</v>
      </c>
      <c r="E21" s="49" t="s">
        <v>243</v>
      </c>
      <c r="F21" s="59">
        <v>45068</v>
      </c>
      <c r="G21" s="2" t="s">
        <v>21</v>
      </c>
      <c r="H21" s="2" t="str">
        <f t="shared" si="0"/>
        <v>ANS</v>
      </c>
      <c r="I21" s="20" t="s">
        <v>210</v>
      </c>
      <c r="J21" s="2" t="s">
        <v>202</v>
      </c>
      <c r="K21" s="2" t="s">
        <v>20</v>
      </c>
      <c r="L21" s="56">
        <f t="shared" si="1"/>
        <v>20</v>
      </c>
      <c r="M21" s="56">
        <f t="shared" si="2"/>
        <v>15</v>
      </c>
      <c r="N21" s="56">
        <f t="shared" si="3"/>
        <v>17</v>
      </c>
      <c r="O21" s="7"/>
      <c r="P21" s="7"/>
    </row>
    <row r="22" spans="1:28" ht="15" thickBot="1" x14ac:dyDescent="0.35">
      <c r="A22" s="2" t="s">
        <v>146</v>
      </c>
      <c r="B22" s="2" t="s">
        <v>147</v>
      </c>
      <c r="C22" s="2" t="s">
        <v>191</v>
      </c>
      <c r="D22" s="2">
        <v>62953292</v>
      </c>
      <c r="E22" s="49" t="s">
        <v>244</v>
      </c>
      <c r="F22" s="59">
        <v>45068</v>
      </c>
      <c r="G22" s="2" t="s">
        <v>21</v>
      </c>
      <c r="H22" s="2" t="str">
        <f t="shared" si="0"/>
        <v>ANW</v>
      </c>
      <c r="I22" s="20" t="s">
        <v>211</v>
      </c>
      <c r="J22" s="2" t="s">
        <v>202</v>
      </c>
      <c r="K22" s="2" t="s">
        <v>20</v>
      </c>
      <c r="L22" s="56">
        <f t="shared" si="1"/>
        <v>20</v>
      </c>
      <c r="M22" s="56">
        <f t="shared" si="2"/>
        <v>15</v>
      </c>
      <c r="N22" s="56">
        <f t="shared" si="3"/>
        <v>17</v>
      </c>
      <c r="O22" s="7"/>
      <c r="P22" s="7"/>
    </row>
    <row r="23" spans="1:28" ht="15" thickBot="1" x14ac:dyDescent="0.35">
      <c r="A23" s="2" t="s">
        <v>148</v>
      </c>
      <c r="B23" s="2" t="s">
        <v>149</v>
      </c>
      <c r="C23" s="2" t="s">
        <v>192</v>
      </c>
      <c r="D23" s="2">
        <v>95653595</v>
      </c>
      <c r="E23" s="49" t="s">
        <v>245</v>
      </c>
      <c r="F23" s="59">
        <v>45068</v>
      </c>
      <c r="G23" s="2" t="s">
        <v>21</v>
      </c>
      <c r="H23" s="2" t="str">
        <f t="shared" si="0"/>
        <v>VIPS</v>
      </c>
      <c r="I23" s="19" t="s">
        <v>207</v>
      </c>
      <c r="J23" s="2" t="s">
        <v>202</v>
      </c>
      <c r="K23" s="2" t="s">
        <v>20</v>
      </c>
      <c r="L23" s="56">
        <f t="shared" si="1"/>
        <v>40</v>
      </c>
      <c r="M23" s="56">
        <f t="shared" si="2"/>
        <v>15</v>
      </c>
      <c r="N23" s="56">
        <f t="shared" si="3"/>
        <v>34</v>
      </c>
      <c r="O23" s="7"/>
      <c r="P23" s="7"/>
    </row>
    <row r="24" spans="1:28" ht="15" thickBot="1" x14ac:dyDescent="0.35">
      <c r="A24" s="2" t="s">
        <v>150</v>
      </c>
      <c r="B24" s="2" t="s">
        <v>151</v>
      </c>
      <c r="C24" s="2" t="s">
        <v>193</v>
      </c>
      <c r="D24" s="2">
        <v>325894</v>
      </c>
      <c r="E24" s="49" t="s">
        <v>246</v>
      </c>
      <c r="F24" s="59">
        <v>45068</v>
      </c>
      <c r="G24" s="2" t="s">
        <v>21</v>
      </c>
      <c r="H24" s="2" t="str">
        <f t="shared" si="0"/>
        <v>DisN</v>
      </c>
      <c r="I24" s="53" t="s">
        <v>216</v>
      </c>
      <c r="J24" s="2" t="s">
        <v>203</v>
      </c>
      <c r="K24" s="2" t="s">
        <v>20</v>
      </c>
      <c r="L24" s="56">
        <f t="shared" si="1"/>
        <v>20</v>
      </c>
      <c r="M24" s="56">
        <f t="shared" si="2"/>
        <v>15</v>
      </c>
      <c r="N24" s="56">
        <f t="shared" si="3"/>
        <v>17</v>
      </c>
      <c r="O24" s="7"/>
      <c r="P24" s="7"/>
    </row>
    <row r="25" spans="1:28" ht="15" thickBot="1" x14ac:dyDescent="0.35">
      <c r="A25" s="2" t="s">
        <v>152</v>
      </c>
      <c r="B25" s="2" t="s">
        <v>153</v>
      </c>
      <c r="C25" s="2" t="s">
        <v>186</v>
      </c>
      <c r="D25" s="2">
        <v>754606</v>
      </c>
      <c r="E25" s="49" t="s">
        <v>247</v>
      </c>
      <c r="F25" s="59">
        <v>45068</v>
      </c>
      <c r="G25" s="2" t="s">
        <v>21</v>
      </c>
      <c r="H25" s="2" t="str">
        <f t="shared" si="0"/>
        <v>DisN</v>
      </c>
      <c r="I25" s="53" t="s">
        <v>216</v>
      </c>
      <c r="J25" s="2" t="s">
        <v>203</v>
      </c>
      <c r="K25" s="2" t="s">
        <v>20</v>
      </c>
      <c r="L25" s="56">
        <f t="shared" si="1"/>
        <v>20</v>
      </c>
      <c r="M25" s="56">
        <f t="shared" si="2"/>
        <v>15</v>
      </c>
      <c r="N25" s="56">
        <f t="shared" si="3"/>
        <v>17</v>
      </c>
      <c r="O25" s="7"/>
      <c r="P25" s="7"/>
    </row>
    <row r="26" spans="1:28" ht="15" thickBot="1" x14ac:dyDescent="0.35">
      <c r="A26" s="2" t="s">
        <v>154</v>
      </c>
      <c r="B26" s="2" t="s">
        <v>159</v>
      </c>
      <c r="C26" s="2" t="s">
        <v>118</v>
      </c>
      <c r="D26" s="2">
        <v>953529</v>
      </c>
      <c r="E26" s="49" t="s">
        <v>248</v>
      </c>
      <c r="F26" s="59">
        <v>45068</v>
      </c>
      <c r="G26" s="2" t="s">
        <v>21</v>
      </c>
      <c r="H26" s="2" t="str">
        <f t="shared" si="0"/>
        <v>ANN</v>
      </c>
      <c r="I26" s="20" t="s">
        <v>209</v>
      </c>
      <c r="J26" s="2" t="s">
        <v>202</v>
      </c>
      <c r="K26" s="2" t="s">
        <v>204</v>
      </c>
      <c r="L26" s="56">
        <f t="shared" si="1"/>
        <v>20</v>
      </c>
      <c r="M26" s="56">
        <f t="shared" si="2"/>
        <v>20</v>
      </c>
      <c r="N26" s="56">
        <f t="shared" si="3"/>
        <v>16</v>
      </c>
      <c r="O26" s="7"/>
      <c r="P26" s="7"/>
    </row>
    <row r="27" spans="1:28" ht="15" thickBot="1" x14ac:dyDescent="0.35">
      <c r="A27" s="2" t="s">
        <v>155</v>
      </c>
      <c r="B27" s="2" t="s">
        <v>156</v>
      </c>
      <c r="C27" s="2" t="s">
        <v>183</v>
      </c>
      <c r="D27" s="2">
        <v>69526569</v>
      </c>
      <c r="E27" s="49" t="s">
        <v>249</v>
      </c>
      <c r="F27" s="59">
        <v>45068</v>
      </c>
      <c r="G27" s="2" t="s">
        <v>19</v>
      </c>
      <c r="H27" s="2" t="str">
        <f t="shared" si="0"/>
        <v>ANN</v>
      </c>
      <c r="I27" s="20" t="s">
        <v>209</v>
      </c>
      <c r="J27" s="2" t="s">
        <v>202</v>
      </c>
      <c r="K27" s="2" t="s">
        <v>204</v>
      </c>
      <c r="L27" s="56">
        <f t="shared" si="1"/>
        <v>20</v>
      </c>
      <c r="M27" s="56">
        <f t="shared" si="2"/>
        <v>20</v>
      </c>
      <c r="N27" s="56">
        <f t="shared" si="3"/>
        <v>16</v>
      </c>
      <c r="O27" s="7"/>
      <c r="P27" s="7"/>
    </row>
    <row r="28" spans="1:28" ht="15" thickBot="1" x14ac:dyDescent="0.35">
      <c r="A28" s="2" t="s">
        <v>157</v>
      </c>
      <c r="B28" s="2" t="s">
        <v>158</v>
      </c>
      <c r="C28" s="2" t="s">
        <v>194</v>
      </c>
      <c r="D28" s="2">
        <v>593529</v>
      </c>
      <c r="E28" s="49" t="s">
        <v>250</v>
      </c>
      <c r="F28" s="59">
        <v>45068</v>
      </c>
      <c r="G28" s="2" t="s">
        <v>19</v>
      </c>
      <c r="H28" s="2" t="str">
        <f t="shared" si="0"/>
        <v>ANN</v>
      </c>
      <c r="I28" s="20" t="s">
        <v>209</v>
      </c>
      <c r="J28" s="2" t="s">
        <v>202</v>
      </c>
      <c r="K28" s="2" t="s">
        <v>204</v>
      </c>
      <c r="L28" s="56">
        <f t="shared" si="1"/>
        <v>20</v>
      </c>
      <c r="M28" s="56">
        <f t="shared" si="2"/>
        <v>20</v>
      </c>
      <c r="N28" s="56">
        <f t="shared" si="3"/>
        <v>16</v>
      </c>
      <c r="O28" s="7"/>
      <c r="P28" s="7"/>
    </row>
    <row r="29" spans="1:28" ht="15" thickBot="1" x14ac:dyDescent="0.35">
      <c r="A29" s="2" t="s">
        <v>163</v>
      </c>
      <c r="B29" s="2" t="s">
        <v>164</v>
      </c>
      <c r="C29" s="2" t="s">
        <v>195</v>
      </c>
      <c r="D29" s="2">
        <v>9559536</v>
      </c>
      <c r="E29" s="49" t="s">
        <v>251</v>
      </c>
      <c r="F29" s="59">
        <v>45068</v>
      </c>
      <c r="G29" s="2" t="s">
        <v>19</v>
      </c>
      <c r="H29" s="2" t="str">
        <f t="shared" si="0"/>
        <v>ANN</v>
      </c>
      <c r="I29" s="20" t="s">
        <v>209</v>
      </c>
      <c r="J29" s="2" t="s">
        <v>202</v>
      </c>
      <c r="K29" s="2" t="s">
        <v>204</v>
      </c>
      <c r="L29" s="56">
        <f t="shared" si="1"/>
        <v>20</v>
      </c>
      <c r="M29" s="56">
        <f t="shared" si="2"/>
        <v>20</v>
      </c>
      <c r="N29" s="56">
        <f t="shared" si="3"/>
        <v>16</v>
      </c>
      <c r="O29" s="7"/>
      <c r="P29" s="7"/>
    </row>
    <row r="30" spans="1:28" ht="15" thickBot="1" x14ac:dyDescent="0.35">
      <c r="A30" s="2" t="s">
        <v>165</v>
      </c>
      <c r="B30" s="2" t="s">
        <v>166</v>
      </c>
      <c r="C30" s="2" t="s">
        <v>192</v>
      </c>
      <c r="D30" s="2">
        <v>8496395</v>
      </c>
      <c r="E30" s="49" t="s">
        <v>252</v>
      </c>
      <c r="F30" s="59">
        <v>45068</v>
      </c>
      <c r="G30" s="2" t="s">
        <v>19</v>
      </c>
      <c r="H30" s="2" t="str">
        <f t="shared" si="0"/>
        <v>ANW</v>
      </c>
      <c r="I30" s="20" t="s">
        <v>211</v>
      </c>
      <c r="J30" s="2" t="s">
        <v>21</v>
      </c>
      <c r="K30" s="2" t="s">
        <v>204</v>
      </c>
      <c r="L30" s="56">
        <f t="shared" si="1"/>
        <v>20</v>
      </c>
      <c r="M30" s="56">
        <f t="shared" si="2"/>
        <v>20</v>
      </c>
      <c r="N30" s="56">
        <f t="shared" si="3"/>
        <v>16</v>
      </c>
      <c r="O30" s="7"/>
      <c r="P30" s="7"/>
    </row>
    <row r="31" spans="1:28" ht="15" thickBot="1" x14ac:dyDescent="0.35">
      <c r="A31" s="2" t="s">
        <v>167</v>
      </c>
      <c r="B31" s="2" t="s">
        <v>168</v>
      </c>
      <c r="C31" s="2" t="s">
        <v>118</v>
      </c>
      <c r="D31" s="2">
        <v>785412</v>
      </c>
      <c r="E31" s="49" t="s">
        <v>253</v>
      </c>
      <c r="F31" s="59">
        <v>45068</v>
      </c>
      <c r="G31" s="2" t="s">
        <v>19</v>
      </c>
      <c r="H31" s="2" t="str">
        <f t="shared" si="0"/>
        <v>CFS</v>
      </c>
      <c r="I31" s="22" t="s">
        <v>214</v>
      </c>
      <c r="J31" s="2" t="s">
        <v>203</v>
      </c>
      <c r="K31" s="2" t="s">
        <v>20</v>
      </c>
      <c r="L31" s="56">
        <f t="shared" si="1"/>
        <v>20</v>
      </c>
      <c r="M31" s="56">
        <f t="shared" si="2"/>
        <v>15</v>
      </c>
      <c r="N31" s="56">
        <f t="shared" si="3"/>
        <v>17</v>
      </c>
      <c r="O31" s="7"/>
      <c r="P31" s="7"/>
    </row>
    <row r="32" spans="1:28" ht="15" thickBot="1" x14ac:dyDescent="0.35">
      <c r="A32" s="2" t="s">
        <v>169</v>
      </c>
      <c r="B32" s="2" t="s">
        <v>170</v>
      </c>
      <c r="C32" s="2" t="s">
        <v>110</v>
      </c>
      <c r="D32" s="2">
        <v>215487</v>
      </c>
      <c r="E32" s="49" t="s">
        <v>254</v>
      </c>
      <c r="F32" s="59">
        <v>45068</v>
      </c>
      <c r="G32" s="2" t="s">
        <v>19</v>
      </c>
      <c r="H32" s="2" t="str">
        <f t="shared" si="0"/>
        <v>ANW</v>
      </c>
      <c r="I32" s="20" t="s">
        <v>211</v>
      </c>
      <c r="J32" s="2" t="s">
        <v>21</v>
      </c>
      <c r="K32" s="2" t="s">
        <v>204</v>
      </c>
      <c r="L32" s="56">
        <f t="shared" si="1"/>
        <v>20</v>
      </c>
      <c r="M32" s="56">
        <f t="shared" si="2"/>
        <v>20</v>
      </c>
      <c r="N32" s="56">
        <f t="shared" si="3"/>
        <v>16</v>
      </c>
      <c r="O32" s="7"/>
      <c r="P32" s="7"/>
    </row>
    <row r="33" spans="1:16" ht="15" thickBot="1" x14ac:dyDescent="0.35">
      <c r="A33" s="2" t="s">
        <v>171</v>
      </c>
      <c r="B33" s="2" t="s">
        <v>172</v>
      </c>
      <c r="C33" s="2" t="s">
        <v>186</v>
      </c>
      <c r="D33" s="2">
        <v>985632</v>
      </c>
      <c r="E33" s="49" t="s">
        <v>255</v>
      </c>
      <c r="F33" s="59">
        <v>45068</v>
      </c>
      <c r="G33" s="2" t="s">
        <v>21</v>
      </c>
      <c r="H33" s="2" t="str">
        <f t="shared" si="0"/>
        <v>ANW</v>
      </c>
      <c r="I33" s="20" t="s">
        <v>211</v>
      </c>
      <c r="J33" s="2" t="s">
        <v>21</v>
      </c>
      <c r="K33" s="2" t="s">
        <v>204</v>
      </c>
      <c r="L33" s="56">
        <f t="shared" si="1"/>
        <v>20</v>
      </c>
      <c r="M33" s="56">
        <f t="shared" si="2"/>
        <v>20</v>
      </c>
      <c r="N33" s="56">
        <f t="shared" si="3"/>
        <v>16</v>
      </c>
      <c r="O33" s="7"/>
      <c r="P33" s="7"/>
    </row>
    <row r="34" spans="1:16" ht="15" thickBot="1" x14ac:dyDescent="0.35">
      <c r="A34" s="2" t="s">
        <v>173</v>
      </c>
      <c r="B34" s="2" t="s">
        <v>174</v>
      </c>
      <c r="C34" s="2" t="s">
        <v>111</v>
      </c>
      <c r="D34" s="2">
        <v>236598</v>
      </c>
      <c r="E34" s="49" t="s">
        <v>256</v>
      </c>
      <c r="F34" s="59">
        <v>45068</v>
      </c>
      <c r="G34" s="2" t="s">
        <v>21</v>
      </c>
      <c r="H34" s="2" t="str">
        <f t="shared" si="0"/>
        <v>DisN</v>
      </c>
      <c r="I34" s="53" t="s">
        <v>216</v>
      </c>
      <c r="J34" s="2" t="s">
        <v>203</v>
      </c>
      <c r="K34" s="2" t="s">
        <v>20</v>
      </c>
      <c r="L34" s="56">
        <f t="shared" si="1"/>
        <v>20</v>
      </c>
      <c r="M34" s="56">
        <f t="shared" si="2"/>
        <v>15</v>
      </c>
      <c r="N34" s="56">
        <f t="shared" si="3"/>
        <v>17</v>
      </c>
      <c r="O34" s="7"/>
      <c r="P34" s="7"/>
    </row>
    <row r="35" spans="1:16" ht="15" thickBot="1" x14ac:dyDescent="0.35">
      <c r="A35" s="2" t="s">
        <v>175</v>
      </c>
      <c r="B35" s="2" t="s">
        <v>176</v>
      </c>
      <c r="C35" s="2" t="s">
        <v>190</v>
      </c>
      <c r="D35" s="2">
        <v>85252585</v>
      </c>
      <c r="E35" s="49" t="s">
        <v>257</v>
      </c>
      <c r="F35" s="59">
        <v>45068</v>
      </c>
      <c r="G35" s="2" t="s">
        <v>21</v>
      </c>
      <c r="H35" s="2" t="str">
        <f t="shared" si="0"/>
        <v>ANW</v>
      </c>
      <c r="I35" s="20" t="s">
        <v>211</v>
      </c>
      <c r="J35" s="2" t="s">
        <v>21</v>
      </c>
      <c r="K35" s="2" t="s">
        <v>204</v>
      </c>
      <c r="L35" s="56">
        <f t="shared" si="1"/>
        <v>20</v>
      </c>
      <c r="M35" s="56">
        <f t="shared" si="2"/>
        <v>20</v>
      </c>
      <c r="N35" s="56">
        <f t="shared" si="3"/>
        <v>16</v>
      </c>
      <c r="O35" s="7"/>
      <c r="P35" s="7"/>
    </row>
    <row r="36" spans="1:16" ht="15" thickBot="1" x14ac:dyDescent="0.35">
      <c r="A36" s="2" t="s">
        <v>177</v>
      </c>
      <c r="B36" s="2" t="s">
        <v>178</v>
      </c>
      <c r="C36" s="2" t="s">
        <v>187</v>
      </c>
      <c r="D36" s="2">
        <v>25855412</v>
      </c>
      <c r="E36" s="49" t="s">
        <v>258</v>
      </c>
      <c r="F36" s="59">
        <v>45068</v>
      </c>
      <c r="G36" s="2" t="s">
        <v>21</v>
      </c>
      <c r="H36" s="2" t="str">
        <f t="shared" si="0"/>
        <v>ANW</v>
      </c>
      <c r="I36" s="20" t="s">
        <v>211</v>
      </c>
      <c r="J36" s="2" t="s">
        <v>202</v>
      </c>
      <c r="K36" s="2" t="s">
        <v>204</v>
      </c>
      <c r="L36" s="56">
        <f t="shared" si="1"/>
        <v>20</v>
      </c>
      <c r="M36" s="56">
        <f t="shared" si="2"/>
        <v>20</v>
      </c>
      <c r="N36" s="56">
        <f t="shared" si="3"/>
        <v>16</v>
      </c>
      <c r="O36" s="7"/>
      <c r="P36" s="7"/>
    </row>
    <row r="37" spans="1:16" ht="15" thickBot="1" x14ac:dyDescent="0.35">
      <c r="A37" s="16" t="s">
        <v>179</v>
      </c>
      <c r="B37" s="16" t="s">
        <v>180</v>
      </c>
      <c r="C37" s="16" t="s">
        <v>188</v>
      </c>
      <c r="D37" s="16">
        <v>98472114</v>
      </c>
      <c r="E37" s="5" t="s">
        <v>259</v>
      </c>
      <c r="F37" s="60">
        <v>45068</v>
      </c>
      <c r="G37" s="16" t="s">
        <v>21</v>
      </c>
      <c r="H37" s="16" t="str">
        <f t="shared" si="0"/>
        <v>CFS</v>
      </c>
      <c r="I37" s="22" t="s">
        <v>214</v>
      </c>
      <c r="J37" s="16" t="s">
        <v>203</v>
      </c>
      <c r="K37" s="16" t="s">
        <v>20</v>
      </c>
      <c r="L37" s="57">
        <f t="shared" si="1"/>
        <v>20</v>
      </c>
      <c r="M37" s="57">
        <f t="shared" si="2"/>
        <v>15</v>
      </c>
      <c r="N37" s="57">
        <f t="shared" si="3"/>
        <v>17</v>
      </c>
      <c r="O37" s="8"/>
      <c r="P37" s="8"/>
    </row>
    <row r="38" spans="1:16" x14ac:dyDescent="0.3">
      <c r="G38" s="10"/>
    </row>
  </sheetData>
  <sheetProtection algorithmName="SHA-512" hashValue="fEf12krneklmRVKYY29WxZtdRWUS4jLI9094pBJJ6RFJiUzVPQV3iRfQgZbyiBzxj5F95P4cLaijeSNlVJICOA==" saltValue="Y7NsReYvQBNkShH6d6U8CA==" spinCount="100000" sheet="1" objects="1" scenarios="1"/>
  <mergeCells count="10">
    <mergeCell ref="X3:Z3"/>
    <mergeCell ref="A1:D1"/>
    <mergeCell ref="F1:I1"/>
    <mergeCell ref="O2:P2"/>
    <mergeCell ref="J2:L2"/>
    <mergeCell ref="J1:P1"/>
    <mergeCell ref="A2:B2"/>
    <mergeCell ref="C2:D2"/>
    <mergeCell ref="F2:G2"/>
    <mergeCell ref="H2:I2"/>
  </mergeCells>
  <dataValidations count="2">
    <dataValidation type="textLength" allowBlank="1" showInputMessage="1" showErrorMessage="1" sqref="G1:G1048576" xr:uid="{8271D999-DFDE-45C4-BF96-2407174C08EA}">
      <formula1>1</formula1>
      <formula2>1</formula2>
    </dataValidation>
    <dataValidation type="date" allowBlank="1" showInputMessage="1" showErrorMessage="1" sqref="F1:F1048576" xr:uid="{048FBB70-AD81-436E-BC31-86E4E04D2009}">
      <formula1>45047</formula1>
      <formula2>45107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8188-117F-473D-A9E5-C29820DADDC1}">
  <dimension ref="A1:J6"/>
  <sheetViews>
    <sheetView tabSelected="1" workbookViewId="0">
      <selection activeCell="B4" sqref="B4"/>
    </sheetView>
  </sheetViews>
  <sheetFormatPr defaultRowHeight="14.4" x14ac:dyDescent="0.3"/>
  <cols>
    <col min="1" max="1" width="13.109375" customWidth="1"/>
    <col min="2" max="2" width="19.33203125" customWidth="1"/>
    <col min="3" max="3" width="17" customWidth="1"/>
    <col min="4" max="4" width="15.6640625" customWidth="1"/>
    <col min="5" max="6" width="13.88671875" customWidth="1"/>
    <col min="7" max="7" width="20" customWidth="1"/>
    <col min="8" max="8" width="12.88671875" customWidth="1"/>
    <col min="9" max="9" width="11.5546875" customWidth="1"/>
    <col min="10" max="10" width="11.33203125" customWidth="1"/>
  </cols>
  <sheetData>
    <row r="1" spans="1:10" ht="28.8" x14ac:dyDescent="0.3">
      <c r="A1" s="36" t="s">
        <v>22</v>
      </c>
      <c r="B1" s="36" t="s">
        <v>23</v>
      </c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7" t="s">
        <v>29</v>
      </c>
      <c r="I1" s="37" t="s">
        <v>30</v>
      </c>
      <c r="J1" s="37" t="s">
        <v>31</v>
      </c>
    </row>
    <row r="2" spans="1:10" x14ac:dyDescent="0.3">
      <c r="A2" s="12" t="s">
        <v>32</v>
      </c>
      <c r="B2" s="13" t="s">
        <v>199</v>
      </c>
      <c r="C2" s="11">
        <f>COUNTIF(Worksheet1!J4:J37,"A")</f>
        <v>18</v>
      </c>
      <c r="D2" s="11">
        <f>COUNTIFS(Worksheet1!G4:G38,"",Worksheet1!J4:J38,"A")</f>
        <v>0</v>
      </c>
      <c r="E2" s="11">
        <f>COUNTIFS(Worksheet1!G4:G38,"Y",Worksheet1!J4:J38,"A")</f>
        <v>7</v>
      </c>
      <c r="F2" s="15">
        <f>COUNTIFS(Worksheet1!G4:G38,"N",Worksheet1!J4:J38,"A")</f>
        <v>11</v>
      </c>
      <c r="G2" s="66">
        <f>SUMIF(Worksheet1!J4:J37,"A",Worksheet1!L4:L37)</f>
        <v>420</v>
      </c>
      <c r="H2" s="15">
        <f>SUMIFS(Worksheet1!L4:L37,Worksheet1!J4:J37,"A",Worksheet1!G4:G37,"")</f>
        <v>0</v>
      </c>
      <c r="I2" s="66">
        <f>SUMIFS(Worksheet1!L4:L37,Worksheet1!J4:J37,"A",Worksheet1!G4:G37,"Y")</f>
        <v>180</v>
      </c>
      <c r="J2" s="15">
        <f>SUMIFS(Worksheet1!L4:L37,Worksheet1!J4:J37,"A",Worksheet1!G4:G37,"N")</f>
        <v>240</v>
      </c>
    </row>
    <row r="3" spans="1:10" x14ac:dyDescent="0.3">
      <c r="A3" s="14" t="s">
        <v>34</v>
      </c>
      <c r="B3" s="13" t="s">
        <v>33</v>
      </c>
      <c r="C3" s="11">
        <f>COUNTIF(Worksheet1!J4:J37,"C")</f>
        <v>5</v>
      </c>
      <c r="D3" s="11">
        <f>COUNTIFS(Worksheet1!G4:G38,"",Worksheet1!J4:J38,"C")</f>
        <v>0</v>
      </c>
      <c r="E3" s="11">
        <f>COUNTIFS(Worksheet1!G4:G38,"Y",Worksheet1!J4:J38,"C")</f>
        <v>1</v>
      </c>
      <c r="F3" s="15">
        <f>COUNTIFS(Worksheet1!G4:G38,"N",Worksheet1!J4:J38,"C")</f>
        <v>4</v>
      </c>
      <c r="G3" s="15">
        <f>SUMIF(Worksheet1!$J4:$J37,"C",Worksheet1!$L4:$L37)</f>
        <v>100</v>
      </c>
      <c r="H3" s="15">
        <f>SUMIFS(Worksheet1!L4:L37,Worksheet1!J4:J37,"C",Worksheet1!G4:G37,"")</f>
        <v>0</v>
      </c>
      <c r="I3" s="15">
        <f>SUMIFS(Worksheet1!L4:L37,Worksheet1!J4:J37,"C",Worksheet1!G4:G37,"Y")</f>
        <v>20</v>
      </c>
      <c r="J3" s="15">
        <f>SUMIFS(Worksheet1!L4:L37,Worksheet1!J4:J37,"C",Worksheet1!G4:G37,"N")</f>
        <v>80</v>
      </c>
    </row>
    <row r="4" spans="1:10" x14ac:dyDescent="0.3">
      <c r="A4" s="14" t="s">
        <v>35</v>
      </c>
      <c r="B4" s="14" t="s">
        <v>36</v>
      </c>
      <c r="C4" s="11">
        <f>COUNTIF(Worksheet1!K4:K38,"S")</f>
        <v>15</v>
      </c>
      <c r="D4" s="11">
        <f>COUNTIFS(Worksheet1!G4:G38,"",Worksheet1!J4:J38,"N",Worksheet1!K4:K38,"S")</f>
        <v>0</v>
      </c>
      <c r="E4" s="11">
        <f>COUNTIFS(Worksheet1!G4:G38,"Y",Worksheet1!J4:J38,"N",Worksheet1!K4:K38,"S")</f>
        <v>0</v>
      </c>
      <c r="F4" s="11">
        <f>COUNTIFS(Worksheet1!G4:G38,"N",Worksheet1!J4:J38,"N",Worksheet1!K4:K38,"S")</f>
        <v>0</v>
      </c>
      <c r="G4" s="11">
        <f ca="1">SUMIF(Worksheet1!K4:K38,"S",Worksheet1!$L4:$L37)</f>
        <v>320</v>
      </c>
      <c r="H4" s="15">
        <f>SUMIFS(Worksheet1!$L4:$L37,Worksheet1!G4:G37,"",Worksheet1!$J4:$J37,"N",Worksheet1!$K4:$K37,"S")</f>
        <v>0</v>
      </c>
      <c r="I4" s="66">
        <f>SUMIFS(Worksheet1!$L4:$L37,Worksheet1!G4:G37,"Y",Worksheet1!$J4:$J37,"N",Worksheet1!$K4:$K37,"S")</f>
        <v>0</v>
      </c>
      <c r="J4" s="15">
        <f>SUMIFS(Worksheet1!$L4:$L37,Worksheet1!G4:G37,"Y",Worksheet1!$J4:$J37,"N",Worksheet1!$K4:$K37,"S")</f>
        <v>0</v>
      </c>
    </row>
    <row r="5" spans="1:10" x14ac:dyDescent="0.3">
      <c r="A5" s="14" t="s">
        <v>37</v>
      </c>
      <c r="B5" s="14" t="s">
        <v>38</v>
      </c>
      <c r="C5" s="11">
        <f>COUNTIF(Worksheet1!K4:K38,"O")</f>
        <v>19</v>
      </c>
      <c r="D5" s="11">
        <f>COUNTIFS(Worksheet1!G4:G38,"",Worksheet1!J4:J38,"N",Worksheet1!K4:K38,"O")</f>
        <v>0</v>
      </c>
      <c r="E5" s="11">
        <f>COUNTIFS(Worksheet1!G4:G38,"Y",Worksheet1!J4:J38,"N",Worksheet1!K4:K38,"O")</f>
        <v>9</v>
      </c>
      <c r="F5" s="11">
        <f>COUNTIFS(Worksheet1!G4:G38,"N",Worksheet1!J4:J38,"N",Worksheet1!K4:K38,"O")</f>
        <v>2</v>
      </c>
      <c r="G5" s="11">
        <f ca="1">SUMIF(Worksheet1!K4:K38,"O",Worksheet1!$L4:$L37)</f>
        <v>400</v>
      </c>
      <c r="H5" s="15">
        <f>SUMIFS(Worksheet1!$L4:$L37,Worksheet1!G4:G37,"",Worksheet1!$J4:$J37,"N",Worksheet1!$K4:$K37,"O")</f>
        <v>0</v>
      </c>
      <c r="I5" s="15">
        <f>SUMIFS(Worksheet1!$L4:$L37,Worksheet1!G4:G37,"Y",Worksheet1!$J4:$J37,"N",Worksheet1!$K4:$K37,"S")</f>
        <v>0</v>
      </c>
      <c r="J5" s="15">
        <f>SUMIFS(Worksheet1!$L4:$L37,Worksheet1!H4:H37,"Y",Worksheet1!$J4:$J37,"N",Worksheet1!$K4:$K37,"S")</f>
        <v>0</v>
      </c>
    </row>
    <row r="6" spans="1:10" x14ac:dyDescent="0.3">
      <c r="A6" s="39" t="s">
        <v>39</v>
      </c>
      <c r="B6" s="40"/>
      <c r="C6" s="38">
        <f>SUM(C2:C5)</f>
        <v>57</v>
      </c>
      <c r="D6" s="38">
        <f t="shared" ref="D6:J6" si="0">SUM(D2:D5)</f>
        <v>0</v>
      </c>
      <c r="E6" s="38">
        <f t="shared" si="0"/>
        <v>17</v>
      </c>
      <c r="F6" s="38">
        <f t="shared" si="0"/>
        <v>17</v>
      </c>
      <c r="G6" s="38">
        <f t="shared" ca="1" si="0"/>
        <v>1240</v>
      </c>
      <c r="H6" s="38">
        <f t="shared" si="0"/>
        <v>0</v>
      </c>
      <c r="I6" s="38">
        <f t="shared" si="0"/>
        <v>200</v>
      </c>
      <c r="J6" s="38">
        <f t="shared" si="0"/>
        <v>320</v>
      </c>
    </row>
  </sheetData>
  <sheetProtection algorithmName="SHA-512" hashValue="CWS6pZRMnlHA8ZueOf1e+auaF1S3kIyT+4JonJOVz459tLHJl5utr9pBelAjlc7kIINxzYpbnorpnOM2IDjBZg==" saltValue="zh8G2K/P7ouJNQWMu8Z+VQ==" spinCount="100000" sheet="1" objects="1" scenarios="1"/>
  <dataValidations count="1">
    <dataValidation allowBlank="1" showInputMessage="1" showErrorMessage="1" errorTitle="SORRY,YOU CAN NOT CHANGE" error="SORRY,YOU CAN NOT CHANGE" sqref="B2" xr:uid="{B0008A06-92B1-4686-A4B4-9BCCD3A0B8CF}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A66D-0585-43D7-836C-567CE2B6A37A}">
  <dimension ref="A1:N83"/>
  <sheetViews>
    <sheetView zoomScale="96" zoomScaleNormal="96" workbookViewId="0">
      <selection activeCell="F21" sqref="F21"/>
    </sheetView>
  </sheetViews>
  <sheetFormatPr defaultRowHeight="14.4" x14ac:dyDescent="0.3"/>
  <cols>
    <col min="2" max="2" width="11" customWidth="1"/>
    <col min="3" max="3" width="12.33203125" customWidth="1"/>
    <col min="4" max="4" width="18.88671875" customWidth="1"/>
    <col min="5" max="5" width="18.6640625" customWidth="1"/>
    <col min="6" max="6" width="58" customWidth="1"/>
    <col min="7" max="7" width="12.88671875" customWidth="1"/>
    <col min="8" max="8" width="12.44140625" customWidth="1"/>
    <col min="9" max="9" width="11" customWidth="1"/>
    <col min="10" max="10" width="10.5546875" style="18" customWidth="1"/>
    <col min="11" max="11" width="18" customWidth="1"/>
    <col min="12" max="12" width="12" customWidth="1"/>
    <col min="13" max="13" width="11.88671875" customWidth="1"/>
    <col min="14" max="14" width="12.109375" customWidth="1"/>
  </cols>
  <sheetData>
    <row r="1" spans="1:14" ht="15" customHeight="1" x14ac:dyDescent="0.3">
      <c r="A1" s="82" t="s">
        <v>1</v>
      </c>
      <c r="B1" s="83"/>
      <c r="C1" s="84"/>
      <c r="D1" s="85" t="s">
        <v>40</v>
      </c>
      <c r="E1" s="86"/>
      <c r="F1" s="40"/>
      <c r="G1" s="87" t="s">
        <v>41</v>
      </c>
      <c r="H1" s="88"/>
      <c r="I1" s="79" t="s">
        <v>42</v>
      </c>
      <c r="J1" s="80"/>
      <c r="K1" s="40"/>
      <c r="L1" s="79" t="s">
        <v>43</v>
      </c>
      <c r="M1" s="81"/>
      <c r="N1" s="80"/>
    </row>
    <row r="2" spans="1:14" ht="30.75" customHeight="1" x14ac:dyDescent="0.3">
      <c r="A2" s="41" t="s">
        <v>44</v>
      </c>
      <c r="B2" s="41" t="s">
        <v>45</v>
      </c>
      <c r="C2" s="41" t="s">
        <v>46</v>
      </c>
      <c r="D2" s="41" t="s">
        <v>47</v>
      </c>
      <c r="E2" s="42" t="s">
        <v>48</v>
      </c>
      <c r="F2" s="43" t="s">
        <v>49</v>
      </c>
      <c r="G2" s="43" t="s">
        <v>50</v>
      </c>
      <c r="H2" s="44" t="s">
        <v>51</v>
      </c>
      <c r="I2" s="43" t="s">
        <v>52</v>
      </c>
      <c r="J2" s="45" t="s">
        <v>53</v>
      </c>
      <c r="K2" s="43" t="s">
        <v>54</v>
      </c>
      <c r="L2" s="43" t="s">
        <v>36</v>
      </c>
      <c r="M2" s="43" t="s">
        <v>38</v>
      </c>
      <c r="N2" s="43" t="s">
        <v>55</v>
      </c>
    </row>
    <row r="3" spans="1:14" x14ac:dyDescent="0.3">
      <c r="A3" s="11">
        <v>1</v>
      </c>
      <c r="B3" s="15" t="s">
        <v>20</v>
      </c>
      <c r="C3" s="19" t="s">
        <v>207</v>
      </c>
      <c r="D3" s="19" t="s">
        <v>57</v>
      </c>
      <c r="E3" s="19" t="s">
        <v>58</v>
      </c>
      <c r="F3" s="15" t="s">
        <v>59</v>
      </c>
      <c r="G3" s="15">
        <v>200</v>
      </c>
      <c r="H3" s="17">
        <f>G3-COUNTIF(Worksheet1!I$4:I$100,Worksheet3!C3)</f>
        <v>195</v>
      </c>
      <c r="I3" s="65">
        <v>40</v>
      </c>
      <c r="J3" s="65">
        <f>((I3*G$28) *90/100)+((I3*G$29)*98/100)</f>
        <v>0</v>
      </c>
      <c r="K3" s="15" t="s">
        <v>33</v>
      </c>
      <c r="L3" s="15">
        <v>0</v>
      </c>
      <c r="M3" s="61">
        <v>0</v>
      </c>
      <c r="N3" s="15"/>
    </row>
    <row r="4" spans="1:14" x14ac:dyDescent="0.3">
      <c r="A4" s="15">
        <v>2</v>
      </c>
      <c r="B4" s="15" t="s">
        <v>21</v>
      </c>
      <c r="C4" s="19" t="s">
        <v>208</v>
      </c>
      <c r="D4" s="19" t="s">
        <v>60</v>
      </c>
      <c r="E4" s="19" t="s">
        <v>61</v>
      </c>
      <c r="F4" s="15" t="s">
        <v>59</v>
      </c>
      <c r="G4" s="15">
        <v>200</v>
      </c>
      <c r="H4" s="17">
        <f>G4-COUNTIF(Worksheet1!I$4:I$100,Worksheet3!C4)</f>
        <v>200</v>
      </c>
      <c r="I4" s="65">
        <v>40</v>
      </c>
      <c r="J4" s="65">
        <f t="shared" ref="J4:J18" si="0">((I4*G$28) *90/100)+((I4*G$29)*98/100)</f>
        <v>0</v>
      </c>
      <c r="K4" s="15" t="s">
        <v>33</v>
      </c>
      <c r="L4" s="15">
        <v>0</v>
      </c>
      <c r="M4" s="61">
        <v>0</v>
      </c>
      <c r="N4" s="15"/>
    </row>
    <row r="5" spans="1:14" x14ac:dyDescent="0.3">
      <c r="A5" s="15">
        <v>3</v>
      </c>
      <c r="B5" s="15" t="s">
        <v>21</v>
      </c>
      <c r="C5" s="20" t="s">
        <v>209</v>
      </c>
      <c r="D5" s="20" t="s">
        <v>62</v>
      </c>
      <c r="E5" s="21" t="s">
        <v>63</v>
      </c>
      <c r="F5" s="15" t="s">
        <v>64</v>
      </c>
      <c r="G5" s="15">
        <v>500</v>
      </c>
      <c r="H5" s="17">
        <f>G5-COUNTIF(Worksheet1!I$4:I$100,Worksheet3!C5)</f>
        <v>495</v>
      </c>
      <c r="I5" s="65">
        <v>20</v>
      </c>
      <c r="J5" s="65">
        <f t="shared" si="0"/>
        <v>0</v>
      </c>
      <c r="K5" s="15" t="s">
        <v>196</v>
      </c>
      <c r="L5" s="61">
        <v>0.15</v>
      </c>
      <c r="M5" s="61">
        <v>0.2</v>
      </c>
      <c r="N5" s="61">
        <v>0.2</v>
      </c>
    </row>
    <row r="6" spans="1:14" x14ac:dyDescent="0.3">
      <c r="A6" s="15">
        <v>4</v>
      </c>
      <c r="B6" s="15" t="s">
        <v>65</v>
      </c>
      <c r="C6" s="20" t="s">
        <v>206</v>
      </c>
      <c r="D6" s="20" t="s">
        <v>66</v>
      </c>
      <c r="E6" s="21" t="s">
        <v>67</v>
      </c>
      <c r="F6" s="15" t="s">
        <v>68</v>
      </c>
      <c r="G6" s="15">
        <v>500</v>
      </c>
      <c r="H6" s="17">
        <f>G6-COUNTIF(Worksheet1!I$4:I$100,Worksheet3!C6)</f>
        <v>500</v>
      </c>
      <c r="I6" s="65">
        <v>20</v>
      </c>
      <c r="J6" s="65">
        <f t="shared" si="0"/>
        <v>0</v>
      </c>
      <c r="K6" s="15" t="s">
        <v>196</v>
      </c>
      <c r="L6" s="61">
        <v>0.15</v>
      </c>
      <c r="M6" s="61">
        <v>0</v>
      </c>
      <c r="N6" s="15"/>
    </row>
    <row r="7" spans="1:14" x14ac:dyDescent="0.3">
      <c r="A7" s="15">
        <v>5</v>
      </c>
      <c r="B7" s="15" t="s">
        <v>20</v>
      </c>
      <c r="C7" s="20" t="s">
        <v>210</v>
      </c>
      <c r="D7" s="20" t="s">
        <v>69</v>
      </c>
      <c r="E7" s="21" t="s">
        <v>63</v>
      </c>
      <c r="F7" s="15" t="s">
        <v>70</v>
      </c>
      <c r="G7" s="15">
        <v>500</v>
      </c>
      <c r="H7" s="17">
        <f>G7-COUNTIF(Worksheet1!I$4:I$100,Worksheet3!C7)</f>
        <v>494</v>
      </c>
      <c r="I7" s="65">
        <v>20</v>
      </c>
      <c r="J7" s="65">
        <f t="shared" si="0"/>
        <v>0</v>
      </c>
      <c r="K7" s="15" t="s">
        <v>196</v>
      </c>
      <c r="L7" s="61"/>
      <c r="M7" s="61">
        <v>0.2</v>
      </c>
      <c r="N7" s="15"/>
    </row>
    <row r="8" spans="1:14" x14ac:dyDescent="0.3">
      <c r="A8" s="15">
        <v>6</v>
      </c>
      <c r="B8" s="15" t="s">
        <v>71</v>
      </c>
      <c r="C8" s="20" t="s">
        <v>211</v>
      </c>
      <c r="D8" s="20" t="s">
        <v>72</v>
      </c>
      <c r="E8" s="21" t="s">
        <v>73</v>
      </c>
      <c r="F8" s="15" t="s">
        <v>68</v>
      </c>
      <c r="G8" s="15">
        <v>500</v>
      </c>
      <c r="H8" s="17">
        <f>G8-COUNTIF(Worksheet1!I$4:I$100,Worksheet3!C8)</f>
        <v>490</v>
      </c>
      <c r="I8" s="65">
        <v>20</v>
      </c>
      <c r="J8" s="65">
        <f t="shared" si="0"/>
        <v>0</v>
      </c>
      <c r="K8" s="24" t="s">
        <v>196</v>
      </c>
      <c r="L8" s="61"/>
      <c r="M8" s="61">
        <v>0.2</v>
      </c>
      <c r="N8" s="15"/>
    </row>
    <row r="9" spans="1:14" x14ac:dyDescent="0.3">
      <c r="A9" s="15">
        <v>7</v>
      </c>
      <c r="B9" s="15" t="s">
        <v>65</v>
      </c>
      <c r="C9" s="20" t="s">
        <v>206</v>
      </c>
      <c r="D9" s="20" t="s">
        <v>66</v>
      </c>
      <c r="E9" s="21" t="s">
        <v>63</v>
      </c>
      <c r="F9" s="15" t="s">
        <v>74</v>
      </c>
      <c r="G9" s="15">
        <v>200</v>
      </c>
      <c r="H9" s="17">
        <f>G9-COUNTIF(Worksheet1!I$4:I$100,Worksheet3!C9)</f>
        <v>200</v>
      </c>
      <c r="I9" s="65">
        <v>20</v>
      </c>
      <c r="J9" s="65">
        <f t="shared" si="0"/>
        <v>0</v>
      </c>
      <c r="K9" s="15" t="s">
        <v>196</v>
      </c>
      <c r="L9" s="13"/>
      <c r="M9" s="61">
        <v>0.2</v>
      </c>
      <c r="N9" s="61">
        <v>0.2</v>
      </c>
    </row>
    <row r="10" spans="1:14" x14ac:dyDescent="0.3">
      <c r="A10" s="15">
        <v>8</v>
      </c>
      <c r="B10" s="15" t="s">
        <v>71</v>
      </c>
      <c r="C10" s="20" t="s">
        <v>211</v>
      </c>
      <c r="D10" s="20" t="s">
        <v>72</v>
      </c>
      <c r="E10" s="21" t="s">
        <v>67</v>
      </c>
      <c r="F10" s="15" t="s">
        <v>74</v>
      </c>
      <c r="G10" s="15">
        <v>200</v>
      </c>
      <c r="H10" s="17">
        <f>G10-COUNTIF(Worksheet1!I$4:I$100,Worksheet3!C10)</f>
        <v>190</v>
      </c>
      <c r="I10" s="65">
        <v>20</v>
      </c>
      <c r="J10" s="65">
        <f t="shared" si="0"/>
        <v>0</v>
      </c>
      <c r="K10" s="15" t="s">
        <v>196</v>
      </c>
      <c r="L10" s="13"/>
      <c r="M10" s="61">
        <v>0.2</v>
      </c>
      <c r="N10" s="61">
        <v>0.2</v>
      </c>
    </row>
    <row r="11" spans="1:14" x14ac:dyDescent="0.3">
      <c r="A11" s="15">
        <v>9</v>
      </c>
      <c r="B11" s="15" t="s">
        <v>21</v>
      </c>
      <c r="C11" s="22" t="s">
        <v>212</v>
      </c>
      <c r="D11" s="22" t="s">
        <v>75</v>
      </c>
      <c r="E11" s="23" t="s">
        <v>76</v>
      </c>
      <c r="F11" s="15" t="s">
        <v>77</v>
      </c>
      <c r="G11" s="15">
        <v>100</v>
      </c>
      <c r="H11" s="17">
        <f>G11-COUNTIF(Worksheet1!I$4:I$100,Worksheet3!C11)</f>
        <v>100</v>
      </c>
      <c r="I11" s="65">
        <v>10</v>
      </c>
      <c r="J11" s="65">
        <f t="shared" si="0"/>
        <v>0</v>
      </c>
      <c r="K11" s="15" t="s">
        <v>34</v>
      </c>
      <c r="L11" s="61">
        <v>0.2</v>
      </c>
      <c r="M11" s="15"/>
      <c r="N11" s="15"/>
    </row>
    <row r="12" spans="1:14" x14ac:dyDescent="0.3">
      <c r="A12" s="15">
        <v>10</v>
      </c>
      <c r="B12" s="15" t="s">
        <v>65</v>
      </c>
      <c r="C12" s="22" t="s">
        <v>213</v>
      </c>
      <c r="D12" s="22" t="s">
        <v>78</v>
      </c>
      <c r="E12" s="23" t="s">
        <v>79</v>
      </c>
      <c r="F12" s="15" t="s">
        <v>80</v>
      </c>
      <c r="G12" s="15">
        <v>100</v>
      </c>
      <c r="H12" s="17">
        <f>G12-COUNTIF(Worksheet1!I$4:I$100,Worksheet3!C12)</f>
        <v>100</v>
      </c>
      <c r="I12" s="65">
        <v>10</v>
      </c>
      <c r="J12" s="65">
        <f t="shared" si="0"/>
        <v>0</v>
      </c>
      <c r="K12" s="15" t="s">
        <v>34</v>
      </c>
      <c r="L12" s="61">
        <v>0.2</v>
      </c>
      <c r="M12" s="15"/>
      <c r="N12" s="61">
        <v>0.25</v>
      </c>
    </row>
    <row r="13" spans="1:14" x14ac:dyDescent="0.3">
      <c r="A13" s="15">
        <v>11</v>
      </c>
      <c r="B13" s="15" t="s">
        <v>20</v>
      </c>
      <c r="C13" s="22" t="s">
        <v>214</v>
      </c>
      <c r="D13" s="23" t="s">
        <v>81</v>
      </c>
      <c r="E13" s="23" t="s">
        <v>82</v>
      </c>
      <c r="F13" s="15" t="s">
        <v>83</v>
      </c>
      <c r="G13" s="15">
        <v>100</v>
      </c>
      <c r="H13" s="17">
        <f>G13-COUNTIF(Worksheet1!I$4:I$100,Worksheet3!C13)</f>
        <v>98</v>
      </c>
      <c r="I13" s="65">
        <v>20</v>
      </c>
      <c r="J13" s="65">
        <f t="shared" si="0"/>
        <v>0</v>
      </c>
      <c r="K13" s="15" t="s">
        <v>34</v>
      </c>
      <c r="L13" s="61">
        <v>0.2</v>
      </c>
      <c r="M13" s="61">
        <v>0.25</v>
      </c>
      <c r="N13" s="61">
        <v>0.25</v>
      </c>
    </row>
    <row r="14" spans="1:14" x14ac:dyDescent="0.3">
      <c r="A14" s="15">
        <v>12</v>
      </c>
      <c r="B14" s="15" t="s">
        <v>71</v>
      </c>
      <c r="C14" s="22" t="s">
        <v>215</v>
      </c>
      <c r="D14" s="22" t="s">
        <v>84</v>
      </c>
      <c r="E14" s="23" t="s">
        <v>79</v>
      </c>
      <c r="F14" s="15" t="s">
        <v>80</v>
      </c>
      <c r="G14" s="15">
        <v>100</v>
      </c>
      <c r="H14" s="17">
        <f>G14-COUNTIF(Worksheet1!I$4:I$100,Worksheet3!C14)</f>
        <v>100</v>
      </c>
      <c r="I14" s="65">
        <v>20</v>
      </c>
      <c r="J14" s="65">
        <f t="shared" si="0"/>
        <v>0</v>
      </c>
      <c r="K14" s="15" t="s">
        <v>34</v>
      </c>
      <c r="L14" s="61">
        <v>0.2</v>
      </c>
      <c r="M14" s="15"/>
      <c r="N14" s="15"/>
    </row>
    <row r="15" spans="1:14" x14ac:dyDescent="0.3">
      <c r="A15" s="15">
        <v>13</v>
      </c>
      <c r="B15" s="15" t="s">
        <v>21</v>
      </c>
      <c r="C15" s="53" t="s">
        <v>216</v>
      </c>
      <c r="D15" s="53" t="s">
        <v>85</v>
      </c>
      <c r="E15" s="53" t="s">
        <v>86</v>
      </c>
      <c r="F15" s="15" t="s">
        <v>87</v>
      </c>
      <c r="G15" s="15">
        <v>200</v>
      </c>
      <c r="H15" s="17">
        <f>G15-COUNTIF(Worksheet1!I$4:I$100,Worksheet3!C15)</f>
        <v>197</v>
      </c>
      <c r="I15" s="65">
        <v>20</v>
      </c>
      <c r="J15" s="65">
        <f t="shared" si="0"/>
        <v>0</v>
      </c>
      <c r="K15" s="15" t="s">
        <v>33</v>
      </c>
      <c r="L15" s="61"/>
      <c r="M15" s="64"/>
      <c r="N15" s="61">
        <v>0.5</v>
      </c>
    </row>
    <row r="16" spans="1:14" x14ac:dyDescent="0.3">
      <c r="A16" s="15">
        <v>14</v>
      </c>
      <c r="B16" s="15" t="s">
        <v>65</v>
      </c>
      <c r="C16" s="53" t="s">
        <v>217</v>
      </c>
      <c r="D16" s="53" t="s">
        <v>88</v>
      </c>
      <c r="E16" s="53" t="s">
        <v>89</v>
      </c>
      <c r="F16" s="15" t="s">
        <v>90</v>
      </c>
      <c r="G16" s="15">
        <v>200</v>
      </c>
      <c r="H16" s="17">
        <f>G16-COUNTIF(Worksheet1!I$4:I$100,Worksheet3!C16)</f>
        <v>200</v>
      </c>
      <c r="I16" s="65">
        <v>20</v>
      </c>
      <c r="J16" s="65">
        <f t="shared" si="0"/>
        <v>0</v>
      </c>
      <c r="K16" s="15" t="s">
        <v>33</v>
      </c>
      <c r="L16" s="61">
        <v>0.25</v>
      </c>
      <c r="M16" s="63"/>
      <c r="N16" s="61">
        <v>0.5</v>
      </c>
    </row>
    <row r="17" spans="1:14" x14ac:dyDescent="0.3">
      <c r="A17" s="15">
        <v>15</v>
      </c>
      <c r="B17" s="15" t="s">
        <v>20</v>
      </c>
      <c r="C17" s="53" t="s">
        <v>218</v>
      </c>
      <c r="D17" s="53" t="s">
        <v>91</v>
      </c>
      <c r="E17" s="53" t="s">
        <v>86</v>
      </c>
      <c r="F17" s="15" t="s">
        <v>87</v>
      </c>
      <c r="G17" s="15">
        <v>200</v>
      </c>
      <c r="H17" s="17">
        <f>G17-COUNTIF(Worksheet1!I$4:I$100,Worksheet3!C17)</f>
        <v>200</v>
      </c>
      <c r="I17" s="65">
        <v>20</v>
      </c>
      <c r="J17" s="65">
        <f t="shared" si="0"/>
        <v>0</v>
      </c>
      <c r="K17" s="15" t="s">
        <v>33</v>
      </c>
      <c r="L17" s="61">
        <v>0.25</v>
      </c>
      <c r="M17" s="63"/>
      <c r="N17" s="61">
        <v>0.5</v>
      </c>
    </row>
    <row r="18" spans="1:14" x14ac:dyDescent="0.3">
      <c r="A18" s="15">
        <v>16</v>
      </c>
      <c r="B18" s="29" t="s">
        <v>71</v>
      </c>
      <c r="C18" s="54" t="s">
        <v>219</v>
      </c>
      <c r="D18" s="53" t="s">
        <v>92</v>
      </c>
      <c r="E18" s="53" t="s">
        <v>89</v>
      </c>
      <c r="F18" s="15" t="s">
        <v>90</v>
      </c>
      <c r="G18" s="15">
        <v>200</v>
      </c>
      <c r="H18" s="30">
        <f>G18-COUNTIF(Worksheet1!I$4:I$100,Worksheet3!C18)</f>
        <v>197</v>
      </c>
      <c r="I18" s="65">
        <v>20</v>
      </c>
      <c r="J18" s="65">
        <f t="shared" si="0"/>
        <v>0</v>
      </c>
      <c r="K18" s="15" t="s">
        <v>33</v>
      </c>
      <c r="L18" s="61">
        <v>0.25</v>
      </c>
      <c r="M18" s="63"/>
      <c r="N18" s="61">
        <v>0.5</v>
      </c>
    </row>
    <row r="19" spans="1:14" x14ac:dyDescent="0.3">
      <c r="A19" s="28">
        <v>17</v>
      </c>
      <c r="B19" s="26"/>
      <c r="C19" s="25"/>
      <c r="D19" s="25"/>
      <c r="E19" s="25"/>
      <c r="F19" s="25"/>
      <c r="G19" s="28"/>
      <c r="H19" s="25"/>
      <c r="I19" s="62"/>
      <c r="J19" s="62"/>
      <c r="K19" s="62"/>
      <c r="L19" s="25"/>
      <c r="M19" s="25"/>
      <c r="N19" s="62"/>
    </row>
    <row r="20" spans="1:14" x14ac:dyDescent="0.3">
      <c r="A20" s="27">
        <v>18</v>
      </c>
    </row>
    <row r="21" spans="1:14" x14ac:dyDescent="0.3">
      <c r="A21" s="27">
        <v>19</v>
      </c>
    </row>
    <row r="22" spans="1:14" ht="15" thickBot="1" x14ac:dyDescent="0.35">
      <c r="A22" s="27">
        <v>20</v>
      </c>
    </row>
    <row r="23" spans="1:14" ht="15" thickBot="1" x14ac:dyDescent="0.35">
      <c r="A23" s="27">
        <v>21</v>
      </c>
      <c r="F23" s="31" t="s">
        <v>93</v>
      </c>
      <c r="G23" s="32">
        <f>SUM(G3:G18)</f>
        <v>4000</v>
      </c>
    </row>
    <row r="24" spans="1:14" ht="15" thickBot="1" x14ac:dyDescent="0.35">
      <c r="A24" s="27">
        <v>22</v>
      </c>
      <c r="F24" s="70" t="s">
        <v>94</v>
      </c>
      <c r="G24" s="71"/>
    </row>
    <row r="25" spans="1:14" ht="15" thickBot="1" x14ac:dyDescent="0.35">
      <c r="A25" s="27">
        <v>23</v>
      </c>
      <c r="F25" s="70" t="s">
        <v>198</v>
      </c>
      <c r="G25" s="71"/>
    </row>
    <row r="26" spans="1:14" ht="15" thickBot="1" x14ac:dyDescent="0.35">
      <c r="A26" s="27">
        <v>24</v>
      </c>
      <c r="F26" s="72" t="s">
        <v>95</v>
      </c>
      <c r="G26" s="71"/>
    </row>
    <row r="27" spans="1:14" ht="15" thickBot="1" x14ac:dyDescent="0.35">
      <c r="A27" s="27">
        <v>25</v>
      </c>
      <c r="F27" s="73" t="s">
        <v>96</v>
      </c>
      <c r="G27" s="71"/>
    </row>
    <row r="28" spans="1:14" ht="15" thickBot="1" x14ac:dyDescent="0.35">
      <c r="A28" s="27">
        <v>26</v>
      </c>
      <c r="F28" s="72" t="s">
        <v>97</v>
      </c>
      <c r="G28" s="71"/>
    </row>
    <row r="29" spans="1:14" ht="15" thickBot="1" x14ac:dyDescent="0.35">
      <c r="A29" s="27">
        <v>27</v>
      </c>
      <c r="F29" s="72" t="s">
        <v>98</v>
      </c>
      <c r="G29" s="71"/>
    </row>
    <row r="30" spans="1:14" ht="15" thickBot="1" x14ac:dyDescent="0.35">
      <c r="F30" s="72" t="s">
        <v>223</v>
      </c>
      <c r="G30" s="67">
        <v>19</v>
      </c>
    </row>
    <row r="31" spans="1:14" ht="15" thickBot="1" x14ac:dyDescent="0.35">
      <c r="F31" s="72" t="s">
        <v>224</v>
      </c>
      <c r="G31" s="67">
        <v>19</v>
      </c>
    </row>
    <row r="32" spans="1:14" ht="15" thickBot="1" x14ac:dyDescent="0.35">
      <c r="F32" s="72" t="s">
        <v>225</v>
      </c>
      <c r="G32" s="67">
        <f>G30+G31</f>
        <v>38</v>
      </c>
    </row>
    <row r="43" spans="3:3" x14ac:dyDescent="0.3">
      <c r="C43" t="str">
        <f t="shared" ref="C43:C83" si="1">C19&amp;B19</f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  <row r="52" spans="3:3" x14ac:dyDescent="0.3">
      <c r="C52" t="str">
        <f t="shared" si="1"/>
        <v/>
      </c>
    </row>
    <row r="53" spans="3:3" x14ac:dyDescent="0.3">
      <c r="C53" t="str">
        <f t="shared" si="1"/>
        <v/>
      </c>
    </row>
    <row r="54" spans="3:3" x14ac:dyDescent="0.3">
      <c r="C54" t="str">
        <f t="shared" si="1"/>
        <v/>
      </c>
    </row>
    <row r="55" spans="3:3" x14ac:dyDescent="0.3">
      <c r="C55" t="str">
        <f t="shared" si="1"/>
        <v/>
      </c>
    </row>
    <row r="56" spans="3:3" x14ac:dyDescent="0.3">
      <c r="C56" t="str">
        <f t="shared" si="1"/>
        <v/>
      </c>
    </row>
    <row r="57" spans="3:3" x14ac:dyDescent="0.3">
      <c r="C57" t="str">
        <f t="shared" si="1"/>
        <v/>
      </c>
    </row>
    <row r="58" spans="3:3" x14ac:dyDescent="0.3">
      <c r="C58" t="str">
        <f t="shared" si="1"/>
        <v/>
      </c>
    </row>
    <row r="59" spans="3:3" x14ac:dyDescent="0.3">
      <c r="C59" t="str">
        <f t="shared" si="1"/>
        <v/>
      </c>
    </row>
    <row r="60" spans="3:3" x14ac:dyDescent="0.3">
      <c r="C60" t="str">
        <f t="shared" si="1"/>
        <v/>
      </c>
    </row>
    <row r="61" spans="3:3" x14ac:dyDescent="0.3">
      <c r="C61" t="str">
        <f t="shared" si="1"/>
        <v/>
      </c>
    </row>
    <row r="62" spans="3:3" x14ac:dyDescent="0.3">
      <c r="C62" t="str">
        <f t="shared" si="1"/>
        <v/>
      </c>
    </row>
    <row r="63" spans="3:3" x14ac:dyDescent="0.3">
      <c r="C63" t="str">
        <f t="shared" si="1"/>
        <v/>
      </c>
    </row>
    <row r="64" spans="3:3" x14ac:dyDescent="0.3">
      <c r="C64" t="str">
        <f t="shared" si="1"/>
        <v/>
      </c>
    </row>
    <row r="65" spans="3:3" x14ac:dyDescent="0.3">
      <c r="C65" t="str">
        <f t="shared" si="1"/>
        <v/>
      </c>
    </row>
    <row r="66" spans="3:3" x14ac:dyDescent="0.3">
      <c r="C66" t="str">
        <f t="shared" si="1"/>
        <v/>
      </c>
    </row>
    <row r="67" spans="3:3" x14ac:dyDescent="0.3">
      <c r="C67" t="str">
        <f t="shared" si="1"/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</sheetData>
  <sheetProtection algorithmName="SHA-512" hashValue="a/4ZChaPvnZFqMpNNztTaHvYN13rf6WHeoRU3F3kl9R8Yo/2Fvaw3qE+r1p3EMSUAtQcAJzsOqml/CzCqaJ1RA==" saltValue="RyK0y9XV3PUl+o7e2gsE5g==" spinCount="100000" sheet="1" objects="1" scenarios="1"/>
  <mergeCells count="5">
    <mergeCell ref="I1:J1"/>
    <mergeCell ref="L1:N1"/>
    <mergeCell ref="A1:C1"/>
    <mergeCell ref="D1:E1"/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38FA-3D24-404F-AE55-4FB806DD0FD0}">
  <dimension ref="A1:G25"/>
  <sheetViews>
    <sheetView workbookViewId="0">
      <selection activeCell="D10" sqref="D10"/>
    </sheetView>
  </sheetViews>
  <sheetFormatPr defaultRowHeight="14.4" x14ac:dyDescent="0.3"/>
  <cols>
    <col min="1" max="1" width="14.109375" customWidth="1"/>
    <col min="2" max="2" width="12" customWidth="1"/>
    <col min="3" max="3" width="13.33203125" customWidth="1"/>
    <col min="4" max="4" width="14.33203125" customWidth="1"/>
    <col min="5" max="5" width="19.33203125" customWidth="1"/>
    <col min="6" max="6" width="16.6640625" customWidth="1"/>
    <col min="7" max="7" width="35.109375" customWidth="1"/>
  </cols>
  <sheetData>
    <row r="1" spans="1:7" ht="28.8" x14ac:dyDescent="0.3">
      <c r="A1" s="46" t="s">
        <v>99</v>
      </c>
      <c r="B1" s="46" t="s">
        <v>100</v>
      </c>
      <c r="C1" s="46" t="s">
        <v>101</v>
      </c>
      <c r="D1" s="47" t="s">
        <v>102</v>
      </c>
      <c r="E1" s="46" t="s">
        <v>103</v>
      </c>
      <c r="F1" s="46" t="s">
        <v>104</v>
      </c>
      <c r="G1" s="46" t="s">
        <v>105</v>
      </c>
    </row>
    <row r="2" spans="1:7" x14ac:dyDescent="0.3">
      <c r="A2" s="13"/>
      <c r="B2" s="13"/>
      <c r="C2" s="13"/>
      <c r="D2" s="13"/>
      <c r="E2" s="13"/>
      <c r="F2" s="13"/>
      <c r="G2" s="13"/>
    </row>
    <row r="3" spans="1:7" x14ac:dyDescent="0.3">
      <c r="A3" s="13"/>
      <c r="B3" s="13"/>
      <c r="C3" s="13"/>
      <c r="D3" s="13"/>
      <c r="E3" s="13"/>
      <c r="F3" s="13"/>
      <c r="G3" s="13"/>
    </row>
    <row r="4" spans="1:7" x14ac:dyDescent="0.3">
      <c r="A4" s="13"/>
      <c r="B4" s="13"/>
      <c r="C4" s="13"/>
      <c r="D4" s="13"/>
      <c r="E4" s="13"/>
      <c r="F4" s="13"/>
      <c r="G4" s="13"/>
    </row>
    <row r="5" spans="1:7" x14ac:dyDescent="0.3">
      <c r="A5" s="13"/>
      <c r="B5" s="13"/>
      <c r="C5" s="13"/>
      <c r="D5" s="13"/>
      <c r="E5" s="13"/>
      <c r="F5" s="13"/>
      <c r="G5" s="13"/>
    </row>
    <row r="10" spans="1:7" ht="28.8" x14ac:dyDescent="0.3">
      <c r="A10" s="48" t="s">
        <v>11</v>
      </c>
      <c r="B10" s="48" t="s">
        <v>106</v>
      </c>
      <c r="C10" s="48" t="s">
        <v>107</v>
      </c>
      <c r="D10" s="48" t="s">
        <v>108</v>
      </c>
      <c r="E10" s="48" t="s">
        <v>109</v>
      </c>
    </row>
    <row r="11" spans="1:7" x14ac:dyDescent="0.3">
      <c r="A11" s="13"/>
      <c r="B11" s="13"/>
      <c r="C11" s="13"/>
      <c r="D11" s="13"/>
      <c r="E11" s="13"/>
    </row>
    <row r="12" spans="1:7" x14ac:dyDescent="0.3">
      <c r="A12" s="13"/>
      <c r="B12" s="13"/>
      <c r="C12" s="13"/>
      <c r="D12" s="13"/>
      <c r="E12" s="13"/>
    </row>
    <row r="13" spans="1:7" x14ac:dyDescent="0.3">
      <c r="A13" s="13"/>
      <c r="B13" s="13"/>
      <c r="C13" s="13"/>
      <c r="D13" s="13"/>
      <c r="E13" s="13"/>
    </row>
    <row r="14" spans="1:7" x14ac:dyDescent="0.3">
      <c r="A14" s="13"/>
      <c r="B14" s="13"/>
      <c r="C14" s="13"/>
      <c r="D14" s="13"/>
      <c r="E14" s="13"/>
    </row>
    <row r="15" spans="1:7" x14ac:dyDescent="0.3">
      <c r="A15" s="13"/>
      <c r="B15" s="13"/>
      <c r="C15" s="13"/>
      <c r="D15" s="13"/>
      <c r="E15" s="13"/>
    </row>
    <row r="16" spans="1:7" x14ac:dyDescent="0.3">
      <c r="A16" s="13"/>
      <c r="B16" s="13"/>
      <c r="C16" s="13"/>
      <c r="D16" s="13"/>
      <c r="E16" s="13"/>
    </row>
    <row r="17" spans="1:5" x14ac:dyDescent="0.3">
      <c r="A17" s="13"/>
      <c r="B17" s="13"/>
      <c r="C17" s="13"/>
      <c r="D17" s="13"/>
      <c r="E17" s="13"/>
    </row>
    <row r="18" spans="1:5" x14ac:dyDescent="0.3">
      <c r="A18" s="13"/>
      <c r="B18" s="13"/>
      <c r="C18" s="13"/>
      <c r="D18" s="13"/>
      <c r="E18" s="13"/>
    </row>
    <row r="19" spans="1:5" x14ac:dyDescent="0.3">
      <c r="A19" s="13"/>
      <c r="B19" s="13"/>
      <c r="C19" s="13"/>
      <c r="D19" s="13"/>
      <c r="E19" s="13"/>
    </row>
    <row r="20" spans="1:5" x14ac:dyDescent="0.3">
      <c r="A20" s="13"/>
      <c r="B20" s="13"/>
      <c r="C20" s="13"/>
      <c r="D20" s="13"/>
      <c r="E20" s="13"/>
    </row>
    <row r="21" spans="1:5" x14ac:dyDescent="0.3">
      <c r="A21" s="13"/>
      <c r="B21" s="13"/>
      <c r="C21" s="13"/>
      <c r="D21" s="13"/>
      <c r="E21" s="13"/>
    </row>
    <row r="22" spans="1:5" x14ac:dyDescent="0.3">
      <c r="A22" s="13"/>
      <c r="B22" s="13"/>
      <c r="C22" s="13"/>
      <c r="D22" s="13"/>
      <c r="E22" s="13"/>
    </row>
    <row r="23" spans="1:5" x14ac:dyDescent="0.3">
      <c r="A23" s="13"/>
      <c r="B23" s="13"/>
      <c r="C23" s="13"/>
      <c r="D23" s="13"/>
      <c r="E23" s="13"/>
    </row>
    <row r="24" spans="1:5" x14ac:dyDescent="0.3">
      <c r="A24" s="13"/>
      <c r="B24" s="13"/>
      <c r="C24" s="13"/>
      <c r="D24" s="13"/>
      <c r="E24" s="13"/>
    </row>
    <row r="25" spans="1:5" x14ac:dyDescent="0.3">
      <c r="A25" s="13"/>
      <c r="B25" s="13"/>
      <c r="C25" s="13"/>
      <c r="D25" s="13"/>
      <c r="E25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E5B1165CB3AA448B0392DBC2CA1D3F" ma:contentTypeVersion="13" ma:contentTypeDescription="Create a new document." ma:contentTypeScope="" ma:versionID="9f24171dcf5f28704baab86d64338f15">
  <xsd:schema xmlns:xsd="http://www.w3.org/2001/XMLSchema" xmlns:xs="http://www.w3.org/2001/XMLSchema" xmlns:p="http://schemas.microsoft.com/office/2006/metadata/properties" xmlns:ns3="4ea802f9-5f84-4da2-a403-158ade75fc35" xmlns:ns4="266f231b-4e2f-4fc5-bace-a918d02499a7" targetNamespace="http://schemas.microsoft.com/office/2006/metadata/properties" ma:root="true" ma:fieldsID="6bb6af982daddaa8d3cd1d21f3735583" ns3:_="" ns4:_="">
    <xsd:import namespace="4ea802f9-5f84-4da2-a403-158ade75fc35"/>
    <xsd:import namespace="266f231b-4e2f-4fc5-bace-a918d0249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802f9-5f84-4da2-a403-158ade75f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f231b-4e2f-4fc5-bace-a918d0249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AC99F8-746A-47E2-9219-B5D46B464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802f9-5f84-4da2-a403-158ade75fc35"/>
    <ds:schemaRef ds:uri="266f231b-4e2f-4fc5-bace-a918d0249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086812-B314-4E7E-A1C3-15FCDDB63297}">
  <ds:schemaRefs>
    <ds:schemaRef ds:uri="http://www.w3.org/XML/1998/namespace"/>
    <ds:schemaRef ds:uri="http://purl.org/dc/terms/"/>
    <ds:schemaRef ds:uri="http://purl.org/dc/elements/1.1/"/>
    <ds:schemaRef ds:uri="http://purl.org/dc/dcmitype/"/>
    <ds:schemaRef ds:uri="266f231b-4e2f-4fc5-bace-a918d02499a7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ea802f9-5f84-4da2-a403-158ade75fc3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32F89F0-CFB0-455D-8C54-B93767C1A4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Worksheet1</vt:lpstr>
      <vt:lpstr>Worksheet2 </vt:lpstr>
      <vt:lpstr>Worksheet3</vt:lpstr>
      <vt:lpstr>Auxiliary Sheets</vt:lpstr>
    </vt:vector>
  </TitlesOfParts>
  <Manager/>
  <Company>Central Bedfordshire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IFTAKHAR AHMED</dc:creator>
  <cp:keywords/>
  <dc:description/>
  <cp:lastModifiedBy>awmir amiri</cp:lastModifiedBy>
  <cp:revision/>
  <dcterms:created xsi:type="dcterms:W3CDTF">2023-03-07T09:57:45Z</dcterms:created>
  <dcterms:modified xsi:type="dcterms:W3CDTF">2023-06-27T02:27:47Z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0x01010099E5B1165CB3AA448B0392DBC2CA1D3F</vt:lpwstr>
  </property>
</Properties>
</file>