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customProperty7.bin" ContentType="application/vnd.openxmlformats-officedocument.spreadsheetml.customProperty"/>
  <Override PartName="/xl/customProperty8.bin" ContentType="application/vnd.openxmlformats-officedocument.spreadsheetml.customProperty"/>
  <Override PartName="/xl/customProperty9.bin" ContentType="application/vnd.openxmlformats-officedocument.spreadsheetml.customProperty"/>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CallumMatchett\python\streamlit\div7a\"/>
    </mc:Choice>
  </mc:AlternateContent>
  <xr:revisionPtr revIDLastSave="0" documentId="8_{C532C455-9E22-4F06-88D1-BFFDDBB16395}" xr6:coauthVersionLast="47" xr6:coauthVersionMax="47" xr10:uidLastSave="{00000000-0000-0000-0000-000000000000}"/>
  <bookViews>
    <workbookView xWindow="-120" yWindow="-120" windowWidth="29040" windowHeight="15720" activeTab="2" xr2:uid="{00000000-000D-0000-FFFF-FFFF00000000}"/>
  </bookViews>
  <sheets>
    <sheet name="Cover" sheetId="1" r:id="rId1"/>
    <sheet name="G31 Div 7A Loan Calculator" sheetId="12" r:id="rId2"/>
    <sheet name="D03 Company Debit Loan Summary" sheetId="10" r:id="rId3"/>
    <sheet name="D06 Distributable Surplus" sheetId="13" r:id="rId4"/>
    <sheet name="Index" sheetId="2" state="hidden" r:id="rId5"/>
    <sheet name="Binder_Properties" sheetId="3" state="veryHidden" r:id="rId6"/>
    <sheet name="Home" sheetId="4" state="hidden" r:id="rId7"/>
    <sheet name="Sheet_Named_Ranges" sheetId="5" state="hidden" r:id="rId8"/>
    <sheet name="HNSW_Summary" sheetId="7" state="hidden" r:id="rId9"/>
    <sheet name="Binder_Records" sheetId="8" state="hidden" r:id="rId10"/>
    <sheet name="Binder_Categories" sheetId="9" state="hidden" r:id="rId11"/>
    <sheet name="Taxonomy" sheetId="11" state="hidden" r:id="rId12"/>
  </sheets>
  <definedNames>
    <definedName name="BinderId" localSheetId="5">Binder_Properties!$B$1</definedName>
    <definedName name="BinderVersion" localSheetId="5">Binder_Properties!$B$2</definedName>
    <definedName name="CategoryList">Binder_Categories!$A$1:$A$1</definedName>
    <definedName name="CategoryNamesList" localSheetId="1">'G31 Div 7A Loan Calculator'!$C$99</definedName>
    <definedName name="Cl_ABNTFN">Home!$C$10</definedName>
    <definedName name="Cl_Code">Home!$C$8</definedName>
    <definedName name="Cl_Contact">Home!$C$24</definedName>
    <definedName name="Cl_Email">Home!$E$26</definedName>
    <definedName name="Cl_EntityType">Home!$C$12</definedName>
    <definedName name="Cl_Name">Home!$C$6</definedName>
    <definedName name="Cl_Phone">Home!$C$26</definedName>
    <definedName name="Cl_Software">Home!$C$32</definedName>
    <definedName name="Cl_SoftwarePassword">Home!$E$34</definedName>
    <definedName name="Cl_SoftwareUsername">Home!$C$34</definedName>
    <definedName name="D03_Number_of_Directors" localSheetId="2">'D03 Company Debit Loan Summary'!$J$71</definedName>
    <definedName name="D03_Number_of_Loans" localSheetId="2">'D03 Company Debit Loan Summary'!$J$13</definedName>
    <definedName name="DataVersion" localSheetId="5">Binder_Properties!$B$3</definedName>
    <definedName name="DynamicList_02" localSheetId="1">'G31 Div 7A Loan Calculator'!$J$36</definedName>
    <definedName name="DynamicList_03" localSheetId="1">'G31 Div 7A Loan Calculator'!$J$37</definedName>
    <definedName name="DynamicList_04" localSheetId="1">'G31 Div 7A Loan Calculator'!$J$39</definedName>
    <definedName name="DynamicList_05" localSheetId="1">'G31 Div 7A Loan Calculator'!$J$35</definedName>
    <definedName name="Firm_Manager">Home!$E$42</definedName>
    <definedName name="Firm_Name">Home!$C$40</definedName>
    <definedName name="Firm_Partner">Home!$C$42</definedName>
    <definedName name="Firm_Preparer">Home!$C$44</definedName>
    <definedName name="Firm_PreparerDate">Home!$C$46</definedName>
    <definedName name="Firm_Reviewer">Home!$E$44</definedName>
    <definedName name="Firm_ReviewerDate">Home!$E$46</definedName>
    <definedName name="G31_LoanBalance" localSheetId="1">'G31 Div 7A Loan Calculator'!$J$50</definedName>
    <definedName name="Go_Index" localSheetId="2">'D03 Company Debit Loan Summary'!$M$3</definedName>
    <definedName name="Go_Index" localSheetId="3">'D06 Distributable Surplus'!$J$3</definedName>
    <definedName name="Go_Index" localSheetId="1">'G31 Div 7A Loan Calculator'!$L$4</definedName>
    <definedName name="Go_RefreshSummary" localSheetId="2">'D03 Company Debit Loan Summary'!$P$71</definedName>
    <definedName name="Go_RefreshSummary" localSheetId="1">'G31 Div 7A Loan Calculator'!$O$6</definedName>
    <definedName name="Go_RollUp_01" localSheetId="1">'G31 Div 7A Loan Calculator'!$A$10</definedName>
    <definedName name="Go_RollUp_03" localSheetId="1">'G31 Div 7A Loan Calculator'!$A$15:$H$15</definedName>
    <definedName name="Go_RollUp_06" localSheetId="1">'G31 Div 7A Loan Calculator'!$A$55:$G$55</definedName>
    <definedName name="Go_RollUp_07" localSheetId="1">'G31 Div 7A Loan Calculator'!$A$93:$G$93</definedName>
    <definedName name="Go_ShowHideRows" localSheetId="2">'D03 Company Debit Loan Summary'!$L$13:$M$13</definedName>
    <definedName name="Go_ShowHideRows_01" localSheetId="2">'D03 Company Debit Loan Summary'!$L$71:$M$71</definedName>
    <definedName name="Go_Variance_01" localSheetId="1">'G31 Div 7A Loan Calculator'!$J$52</definedName>
    <definedName name="HomeVersion" localSheetId="5">Binder_Properties!$B$4</definedName>
    <definedName name="Interest_Rate" localSheetId="1">'G31 Div 7A Loan Calculator'!$G$17:$J$30</definedName>
    <definedName name="Jurisdiction" localSheetId="2">'D03 Company Debit Loan Summary'!$M$1</definedName>
    <definedName name="Jurisdiction" localSheetId="3">'D06 Distributable Surplus'!$J$1</definedName>
    <definedName name="Jurisdiction">Home!$E$12</definedName>
    <definedName name="Options_Tolerance">Home!$C$52</definedName>
    <definedName name="PeriodEndDate">Home!$E$14</definedName>
    <definedName name="PeriodStartDate">Home!$C$14</definedName>
    <definedName name="PrimaryBalances">Taxonomy!$N:$N</definedName>
    <definedName name="_xlnm.Print_Area" localSheetId="3">'D06 Distributable Surplus'!$B:$K</definedName>
    <definedName name="_xlnm.Print_Area" localSheetId="1">'G31 Div 7A Loan Calculator'!$B$3:$M$125</definedName>
    <definedName name="Reconcile_Director1LoanBalance" localSheetId="2">'D03 Company Debit Loan Summary'!$J$73</definedName>
    <definedName name="Reconcile_Director2LoanBalance" localSheetId="2">'D03 Company Debit Loan Summary'!$J$74</definedName>
    <definedName name="Reconcile_Director3LoanBalance" localSheetId="2">'D03 Company Debit Loan Summary'!$J$75</definedName>
    <definedName name="Reconcile_Div7AClosingBalance" localSheetId="2">'D03 Company Debit Loan Summary'!$J$87</definedName>
    <definedName name="Reconcile_LoanBalance" localSheetId="1">'G31 Div 7A Loan Calculator'!$J$50</definedName>
    <definedName name="Reconcile_TotalClosingBalance" localSheetId="2">'D03 Company Debit Loan Summary'!$J$90</definedName>
    <definedName name="Reconcile_UPEClosingBalance" localSheetId="2">'D03 Company Debit Loan Summary'!$J$88</definedName>
    <definedName name="RecordInfo.RecordId">Binder_Records!$A:$A</definedName>
    <definedName name="RecordInfo.RecordTitle">Binder_Records!$D:$D</definedName>
    <definedName name="RecordInfo.SheetId">Binder_Records!$B:$B</definedName>
    <definedName name="RecordInfo.Tolerances">Binder_Records!$C:$C</definedName>
    <definedName name="SheetNamedRangesNames">Sheet_Named_Ranges!$B:$B</definedName>
    <definedName name="SheetNamedRangesSheetName">Sheet_Named_Ranges!$A:$A</definedName>
    <definedName name="SheetNamedRangesValues">Sheet_Named_Ranges!$C:$C</definedName>
    <definedName name="SingleCB_1" localSheetId="1">'G31 Div 7A Loan Calculator'!$J$46</definedName>
    <definedName name="SingleCB_6" localSheetId="1">'G31 Div 7A Loan Calculator'!$F$34</definedName>
    <definedName name="SingleOB_1" localSheetId="1">'G31 Div 7A Loan Calculator'!$K$41</definedName>
    <definedName name="SingleOB_2" localSheetId="1">'G31 Div 7A Loan Calculator'!$L$41</definedName>
    <definedName name="SingleOB_6" localSheetId="1">'G31 Div 7A Loan Calculator'!$F$34</definedName>
    <definedName name="Tax_BaseRateEntity">Home!$C$18</definedName>
    <definedName name="Tax_SmallBusinessEntity">Home!$E$16</definedName>
    <definedName name="Tax_Year">Home!$C$16</definedName>
    <definedName name="Tm_Account" localSheetId="1">'G31 Div 7A Loan Calculator'!$K$7</definedName>
    <definedName name="Tm_BalanceStatus" localSheetId="1">'G31 Div 7A Loan Calculator'!$L$6</definedName>
    <definedName name="Tm_CategoryList" localSheetId="1">'G31 Div 7A Loan Calculator'!$F$34</definedName>
    <definedName name="Tm_EndRollUp_01" localSheetId="1">'G31 Div 7A Loan Calculator'!$A$13</definedName>
    <definedName name="Tm_EndRollUp_03" localSheetId="1">'G31 Div 7A Loan Calculator'!$B$30</definedName>
    <definedName name="Tm_EndRollUp_06" localSheetId="1">'G31 Div 7A Loan Calculator'!$B$91</definedName>
    <definedName name="Tm_EndRollUp_07" localSheetId="1">'G31 Div 7A Loan Calculator'!$B$124</definedName>
    <definedName name="Tm_Jurisdiction" localSheetId="1">'G31 Div 7A Loan Calculator'!$L$2</definedName>
    <definedName name="Tm_StartRollUp_01" localSheetId="1">'G31 Div 7A Loan Calculator'!$A$11</definedName>
    <definedName name="Tm_StartRollUp_03" localSheetId="1">'G31 Div 7A Loan Calculator'!$B$16</definedName>
    <definedName name="Tm_StartRollUp_06" localSheetId="1">'G31 Div 7A Loan Calculator'!$B$56</definedName>
    <definedName name="Tm_StartRollUp_07" localSheetId="1">'G31 Div 7A Loan Calculator'!$B$94</definedName>
    <definedName name="Tm_Status" localSheetId="3">'D06 Distributable Surplus'!$I$3</definedName>
    <definedName name="Tm_Status" localSheetId="1">'G31 Div 7A Loan Calculator'!$K$4</definedName>
    <definedName name="Tm_Sub" localSheetId="1">'G31 Div 7A Loan Calculator'!$L$7</definedName>
    <definedName name="Tm_TBAccount" localSheetId="1">'G31 Div 7A Loan Calculator'!$J$7</definedName>
    <definedName name="Tm_TBBalance" localSheetId="1">'G31 Div 7A Loan Calculator'!$J$51</definedName>
    <definedName name="Tm_Tolerance" localSheetId="1">'G31 Div 7A Loan Calculator'!$M$6</definedName>
    <definedName name="Tm_WorksheetTitle" localSheetId="1">'G31 Div 7A Loan Calculator'!$E$4</definedName>
    <definedName name="TrialBalance">Taxonomy!$A:$N</definedName>
    <definedName name="Tx_LedgerReport.AccountNames">Taxonomy!$C:$C</definedName>
    <definedName name="Tx_LedgerReport.AccountNos">Taxonomy!$B:$B</definedName>
    <definedName name="Tx_LedgerReport.Benchmark">Taxonomy!$J:$J</definedName>
    <definedName name="Tx_LedgerReport.LedgerSide">Taxonomy!$K:$K</definedName>
    <definedName name="Tx_LedgerReport.MappingCode">Taxonomy!$I:$I</definedName>
    <definedName name="Tx_LedgerReport.NonDeductibles">Taxonomy!$H:$H</definedName>
    <definedName name="Tx_LedgerReport.PPs">Taxonomy!$G:$G</definedName>
    <definedName name="Tx_LedgerReport.RowType">Taxonomy!$D:$D</definedName>
    <definedName name="Tx_LedgerReport.SourceAccountId">Taxonomy!$A:$A</definedName>
    <definedName name="Tx_LedgerReport.TaxonomyBalances">Taxonomy!$L:$L</definedName>
    <definedName name="Tx_LedgerReport.TaxonomyBalancesDrCr">Taxonomy!$M:$M</definedName>
    <definedName name="Tx_LedgerReport.TaxonomyIDs">Taxonomy!$E:$E</definedName>
    <definedName name="Tx_LedgerReport.TaxonomyNames">Taxonomy!$F:$F</definedName>
    <definedName name="Z_558B4E49_BF54_4A2C_ACEB_D2B2F89A7C90_.wvu.PrintArea" localSheetId="2" hidden="1">'D03 Company Debit Loan Summary'!$C$12:$M$68</definedName>
    <definedName name="Z_833AC96D_4EBC_4216_8F63_12A77F8DCBC4_.wvu.PrintArea" localSheetId="2" hidden="1">'D03 Company Debit Loan Summary'!$C$12:$M$68</definedName>
    <definedName name="Z_CAD51596_6B73_4932_BD63_A9B6500D33A2_.wvu.PrintArea" localSheetId="2" hidden="1">'D03 Company Debit Loan Summary'!$C$12:$M$68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2" i="7" l="1"/>
  <c r="E2" i="7"/>
  <c r="F2" i="7"/>
  <c r="C1" i="5"/>
  <c r="C3" i="5"/>
  <c r="C4" i="5"/>
  <c r="C5" i="5"/>
  <c r="C6" i="5"/>
  <c r="C7" i="5"/>
  <c r="J1" i="13" a="1"/>
  <c r="J1" i="13"/>
  <c r="C4" i="13"/>
  <c r="C5" i="13"/>
  <c r="J22" i="13"/>
  <c r="M6" i="12" l="1"/>
  <c r="L2" i="12"/>
  <c r="E5" i="12"/>
  <c r="E6" i="12"/>
  <c r="J43" i="12" s="1"/>
  <c r="L5" i="12"/>
  <c r="A10" i="12"/>
  <c r="A15" i="12"/>
  <c r="A55" i="12"/>
  <c r="G90" i="12"/>
  <c r="H90" i="12"/>
  <c r="A93" i="12"/>
  <c r="C99" i="12"/>
  <c r="D99" i="12"/>
  <c r="E129" i="12"/>
  <c r="F129" i="12"/>
  <c r="E130" i="12"/>
  <c r="F130" i="12"/>
  <c r="E131" i="12"/>
  <c r="F131" i="12"/>
  <c r="E132" i="12"/>
  <c r="F132" i="12"/>
  <c r="E133" i="12"/>
  <c r="F133" i="12"/>
  <c r="E134" i="12"/>
  <c r="F134" i="12"/>
  <c r="E135" i="12"/>
  <c r="F135" i="12"/>
  <c r="E136" i="12"/>
  <c r="F136" i="12"/>
  <c r="E137" i="12"/>
  <c r="F137" i="12"/>
  <c r="E138" i="12"/>
  <c r="F138" i="12"/>
  <c r="E139" i="12"/>
  <c r="F139" i="12"/>
  <c r="E140" i="12"/>
  <c r="F140" i="12"/>
  <c r="E141" i="12"/>
  <c r="F141" i="12"/>
  <c r="J40" i="12" l="1"/>
  <c r="J38" i="12"/>
  <c r="F62" i="12"/>
  <c r="F89" i="12"/>
  <c r="M1" i="10" a="1"/>
  <c r="M1" i="10" s="1"/>
  <c r="C4" i="10"/>
  <c r="C5" i="10"/>
  <c r="F31" i="10"/>
  <c r="F62" i="10"/>
  <c r="F59" i="10"/>
  <c r="F45" i="10"/>
  <c r="F41" i="10"/>
  <c r="F50" i="10"/>
  <c r="F29" i="10"/>
  <c r="F28" i="10"/>
  <c r="F57" i="10"/>
  <c r="F66" i="10"/>
  <c r="F55" i="10"/>
  <c r="F40" i="10"/>
  <c r="F36" i="10"/>
  <c r="F30" i="10"/>
  <c r="F65" i="10"/>
  <c r="F44" i="10"/>
  <c r="F38" i="10"/>
  <c r="F53" i="10"/>
  <c r="F60" i="10"/>
  <c r="F43" i="10"/>
  <c r="F64" i="10"/>
  <c r="F34" i="10"/>
  <c r="F23" i="10"/>
  <c r="F42" i="10"/>
  <c r="F39" i="10"/>
  <c r="F24" i="10"/>
  <c r="F20" i="10"/>
  <c r="F61" i="10"/>
  <c r="F49" i="10"/>
  <c r="F58" i="10"/>
  <c r="F32" i="10"/>
  <c r="C17" i="10" a="1"/>
  <c r="F19" i="10"/>
  <c r="F63" i="10"/>
  <c r="F18" i="10"/>
  <c r="F56" i="10"/>
  <c r="F26" i="10"/>
  <c r="F22" i="10"/>
  <c r="F25" i="10"/>
  <c r="F46" i="10"/>
  <c r="F33" i="10"/>
  <c r="F47" i="10"/>
  <c r="F48" i="10"/>
  <c r="F27" i="10"/>
  <c r="F54" i="10"/>
  <c r="F21" i="10"/>
  <c r="F51" i="10"/>
  <c r="F35" i="10"/>
  <c r="F52" i="10"/>
  <c r="F37" i="10"/>
  <c r="J48" i="12" l="1"/>
  <c r="E41" i="12"/>
  <c r="C17" i="10"/>
  <c r="V17" i="10"/>
  <c r="V18" i="10"/>
  <c r="V19" i="10"/>
  <c r="V20" i="10"/>
  <c r="V21" i="10"/>
  <c r="V22" i="10"/>
  <c r="V23" i="10"/>
  <c r="V24" i="10"/>
  <c r="V25" i="10"/>
  <c r="V26" i="10"/>
  <c r="V27" i="10"/>
  <c r="V28" i="10"/>
  <c r="V29" i="10"/>
  <c r="V30" i="10"/>
  <c r="V31" i="10"/>
  <c r="V32" i="10"/>
  <c r="V33" i="10"/>
  <c r="V34" i="10"/>
  <c r="V35" i="10"/>
  <c r="V36" i="10"/>
  <c r="V37" i="10"/>
  <c r="V38" i="10"/>
  <c r="V39" i="10"/>
  <c r="V40" i="10"/>
  <c r="V41" i="10"/>
  <c r="V42" i="10"/>
  <c r="V43" i="10"/>
  <c r="V44" i="10"/>
  <c r="V45" i="10"/>
  <c r="V46" i="10"/>
  <c r="V47" i="10"/>
  <c r="V48" i="10"/>
  <c r="V49" i="10"/>
  <c r="V50" i="10"/>
  <c r="V51" i="10"/>
  <c r="V52" i="10"/>
  <c r="V53" i="10"/>
  <c r="V54" i="10"/>
  <c r="V55" i="10"/>
  <c r="V56" i="10"/>
  <c r="V57" i="10"/>
  <c r="V58" i="10"/>
  <c r="V59" i="10"/>
  <c r="V60" i="10"/>
  <c r="V61" i="10"/>
  <c r="V62" i="10"/>
  <c r="V63" i="10"/>
  <c r="V64" i="10"/>
  <c r="V65" i="10"/>
  <c r="V66" i="10"/>
  <c r="M21" i="10"/>
  <c r="H31" i="10"/>
  <c r="J42" i="10"/>
  <c r="M53" i="10"/>
  <c r="H63" i="10"/>
  <c r="G37" i="10"/>
  <c r="L55" i="10"/>
  <c r="G22" i="10"/>
  <c r="E43" i="10"/>
  <c r="L64" i="10"/>
  <c r="H50" i="10"/>
  <c r="I23" i="10"/>
  <c r="I31" i="10"/>
  <c r="I39" i="10"/>
  <c r="I47" i="10"/>
  <c r="I55" i="10"/>
  <c r="I63" i="10"/>
  <c r="I24" i="10"/>
  <c r="E46" i="10"/>
  <c r="G18" i="10"/>
  <c r="I41" i="10"/>
  <c r="M20" i="10"/>
  <c r="M48" i="10"/>
  <c r="J23" i="10"/>
  <c r="M34" i="10"/>
  <c r="H44" i="10"/>
  <c r="J55" i="10"/>
  <c r="G21" i="10"/>
  <c r="L51" i="10"/>
  <c r="G42" i="10"/>
  <c r="E63" i="10"/>
  <c r="J49" i="10"/>
  <c r="J24" i="10"/>
  <c r="M35" i="10"/>
  <c r="H45" i="10"/>
  <c r="J56" i="10"/>
  <c r="L21" i="10"/>
  <c r="L53" i="10"/>
  <c r="I30" i="10"/>
  <c r="G23" i="10"/>
  <c r="E60" i="10"/>
  <c r="I46" i="10"/>
  <c r="E56" i="10"/>
  <c r="E49" i="10"/>
  <c r="E23" i="10"/>
  <c r="M56" i="10"/>
  <c r="H36" i="10"/>
  <c r="M58" i="10"/>
  <c r="L63" i="10"/>
  <c r="J21" i="10"/>
  <c r="M27" i="10"/>
  <c r="M59" i="10"/>
  <c r="J61" i="10"/>
  <c r="G39" i="10"/>
  <c r="G19" i="10"/>
  <c r="M39" i="10"/>
  <c r="L33" i="10"/>
  <c r="G47" i="10"/>
  <c r="J33" i="10"/>
  <c r="I29" i="10"/>
  <c r="M50" i="10"/>
  <c r="H30" i="10"/>
  <c r="M51" i="10"/>
  <c r="J65" i="10"/>
  <c r="M49" i="10"/>
  <c r="L56" i="10"/>
  <c r="G36" i="10"/>
  <c r="E18" i="10"/>
  <c r="I61" i="10"/>
  <c r="M62" i="10"/>
  <c r="H41" i="10"/>
  <c r="G63" i="10"/>
  <c r="I32" i="10"/>
  <c r="J45" i="10"/>
  <c r="E22" i="10"/>
  <c r="H32" i="10"/>
  <c r="H33" i="10"/>
  <c r="E44" i="10"/>
  <c r="J22" i="10"/>
  <c r="M33" i="10"/>
  <c r="H43" i="10"/>
  <c r="J54" i="10"/>
  <c r="M65" i="10"/>
  <c r="L39" i="10"/>
  <c r="G57" i="10"/>
  <c r="G26" i="10"/>
  <c r="G46" i="10"/>
  <c r="H22" i="10"/>
  <c r="J53" i="10"/>
  <c r="G24" i="10"/>
  <c r="G32" i="10"/>
  <c r="G40" i="10"/>
  <c r="G48" i="10"/>
  <c r="G56" i="10"/>
  <c r="G64" i="10"/>
  <c r="I28" i="10"/>
  <c r="E50" i="10"/>
  <c r="I21" i="10"/>
  <c r="I45" i="10"/>
  <c r="J25" i="10"/>
  <c r="M52" i="10"/>
  <c r="H24" i="10"/>
  <c r="J35" i="10"/>
  <c r="M46" i="10"/>
  <c r="H56" i="10"/>
  <c r="L23" i="10"/>
  <c r="G61" i="10"/>
  <c r="L44" i="10"/>
  <c r="G66" i="10"/>
  <c r="H54" i="10"/>
  <c r="H25" i="10"/>
  <c r="J36" i="10"/>
  <c r="M47" i="10"/>
  <c r="H57" i="10"/>
  <c r="L25" i="10"/>
  <c r="L57" i="10"/>
  <c r="I34" i="10"/>
  <c r="G31" i="10"/>
  <c r="I54" i="10"/>
  <c r="G27" i="10"/>
  <c r="H66" i="10"/>
  <c r="E33" i="10"/>
  <c r="J29" i="10"/>
  <c r="J47" i="10"/>
  <c r="E47" i="10"/>
  <c r="H58" i="10"/>
  <c r="H37" i="10"/>
  <c r="L29" i="10"/>
  <c r="I38" i="10"/>
  <c r="G55" i="10"/>
  <c r="M60" i="10"/>
  <c r="J60" i="10"/>
  <c r="I42" i="10"/>
  <c r="E20" i="10"/>
  <c r="I27" i="10"/>
  <c r="H64" i="10"/>
  <c r="G58" i="10"/>
  <c r="M18" i="10"/>
  <c r="H60" i="10"/>
  <c r="E27" i="10"/>
  <c r="M19" i="10"/>
  <c r="J40" i="10"/>
  <c r="I50" i="10"/>
  <c r="G51" i="10"/>
  <c r="H27" i="10"/>
  <c r="G28" i="10"/>
  <c r="I40" i="10"/>
  <c r="J19" i="10"/>
  <c r="E34" i="10"/>
  <c r="J20" i="10"/>
  <c r="L41" i="10"/>
  <c r="L65" i="10"/>
  <c r="I18" i="10"/>
  <c r="J62" i="10"/>
  <c r="L38" i="10"/>
  <c r="E39" i="10"/>
  <c r="I48" i="10"/>
  <c r="M55" i="10"/>
  <c r="E40" i="10"/>
  <c r="H23" i="10"/>
  <c r="J34" i="10"/>
  <c r="M45" i="10"/>
  <c r="H55" i="10"/>
  <c r="J66" i="10"/>
  <c r="G41" i="10"/>
  <c r="L59" i="10"/>
  <c r="L28" i="10"/>
  <c r="L48" i="10"/>
  <c r="M24" i="10"/>
  <c r="J57" i="10"/>
  <c r="E25" i="10"/>
  <c r="E41" i="10"/>
  <c r="E57" i="10"/>
  <c r="E65" i="10"/>
  <c r="G33" i="10"/>
  <c r="I52" i="10"/>
  <c r="E51" i="10"/>
  <c r="M26" i="10"/>
  <c r="E26" i="10"/>
  <c r="J48" i="10"/>
  <c r="G35" i="10"/>
  <c r="G43" i="10"/>
  <c r="I19" i="10"/>
  <c r="J37" i="10"/>
  <c r="L31" i="10"/>
  <c r="H29" i="10"/>
  <c r="L61" i="10"/>
  <c r="E48" i="10"/>
  <c r="J38" i="10"/>
  <c r="L27" i="10"/>
  <c r="M36" i="10"/>
  <c r="G44" i="10"/>
  <c r="E58" i="10"/>
  <c r="H40" i="10"/>
  <c r="E55" i="10"/>
  <c r="M63" i="10"/>
  <c r="E52" i="10"/>
  <c r="E28" i="10"/>
  <c r="E24" i="10"/>
  <c r="G53" i="10"/>
  <c r="L30" i="10"/>
  <c r="L62" i="10"/>
  <c r="H46" i="10"/>
  <c r="M54" i="10"/>
  <c r="M40" i="10"/>
  <c r="I22" i="10"/>
  <c r="M25" i="10"/>
  <c r="H35" i="10"/>
  <c r="J46" i="10"/>
  <c r="M57" i="10"/>
  <c r="M66" i="10"/>
  <c r="I44" i="10"/>
  <c r="E62" i="10"/>
  <c r="E31" i="10"/>
  <c r="G50" i="10"/>
  <c r="M28" i="10"/>
  <c r="L18" i="10"/>
  <c r="L26" i="10"/>
  <c r="L34" i="10"/>
  <c r="L42" i="10"/>
  <c r="L50" i="10"/>
  <c r="L58" i="10"/>
  <c r="L66" i="10"/>
  <c r="L35" i="10"/>
  <c r="E54" i="10"/>
  <c r="I25" i="10"/>
  <c r="I53" i="10"/>
  <c r="M32" i="10"/>
  <c r="H62" i="10"/>
  <c r="J27" i="10"/>
  <c r="M38" i="10"/>
  <c r="H48" i="10"/>
  <c r="J59" i="10"/>
  <c r="G29" i="10"/>
  <c r="L24" i="10"/>
  <c r="I49" i="10"/>
  <c r="H26" i="10"/>
  <c r="J28" i="10"/>
  <c r="H49" i="10"/>
  <c r="I66" i="10"/>
  <c r="E32" i="10"/>
  <c r="I43" i="10"/>
  <c r="I56" i="10"/>
  <c r="J39" i="10"/>
  <c r="L52" i="10"/>
  <c r="H61" i="10"/>
  <c r="E36" i="10"/>
  <c r="H59" i="10"/>
  <c r="E66" i="10"/>
  <c r="G20" i="10"/>
  <c r="G60" i="10"/>
  <c r="G34" i="10"/>
  <c r="J51" i="10"/>
  <c r="M31" i="10"/>
  <c r="G59" i="10"/>
  <c r="M41" i="10"/>
  <c r="G62" i="10"/>
  <c r="L43" i="10"/>
  <c r="J43" i="10"/>
  <c r="J44" i="10"/>
  <c r="J26" i="10"/>
  <c r="M37" i="10"/>
  <c r="H47" i="10"/>
  <c r="J58" i="10"/>
  <c r="G25" i="10"/>
  <c r="G45" i="10"/>
  <c r="I64" i="10"/>
  <c r="L32" i="10"/>
  <c r="G54" i="10"/>
  <c r="I35" i="10"/>
  <c r="I51" i="10"/>
  <c r="I59" i="10"/>
  <c r="E38" i="10"/>
  <c r="H28" i="10"/>
  <c r="L37" i="10"/>
  <c r="L47" i="10"/>
  <c r="M30" i="10"/>
  <c r="H34" i="10"/>
  <c r="I58" i="10"/>
  <c r="H51" i="10"/>
  <c r="L22" i="10"/>
  <c r="G65" i="10"/>
  <c r="G38" i="10"/>
  <c r="I62" i="10"/>
  <c r="E17" i="10"/>
  <c r="E35" i="10"/>
  <c r="G52" i="10"/>
  <c r="H42" i="10"/>
  <c r="G30" i="10"/>
  <c r="J52" i="10"/>
  <c r="E64" i="10"/>
  <c r="L45" i="10"/>
  <c r="J30" i="10"/>
  <c r="L20" i="10"/>
  <c r="L46" i="10"/>
  <c r="H18" i="10"/>
  <c r="L19" i="10"/>
  <c r="M23" i="10"/>
  <c r="L49" i="10"/>
  <c r="I26" i="10"/>
  <c r="J18" i="10"/>
  <c r="M29" i="10"/>
  <c r="H39" i="10"/>
  <c r="J50" i="10"/>
  <c r="M61" i="10"/>
  <c r="E30" i="10"/>
  <c r="G49" i="10"/>
  <c r="E19" i="10"/>
  <c r="I37" i="10"/>
  <c r="E59" i="10"/>
  <c r="J41" i="10"/>
  <c r="E21" i="10"/>
  <c r="E29" i="10"/>
  <c r="E37" i="10"/>
  <c r="E45" i="10"/>
  <c r="E53" i="10"/>
  <c r="E61" i="10"/>
  <c r="I20" i="10"/>
  <c r="E42" i="10"/>
  <c r="I60" i="10"/>
  <c r="L36" i="10"/>
  <c r="I65" i="10"/>
  <c r="M44" i="10"/>
  <c r="H20" i="10"/>
  <c r="J31" i="10"/>
  <c r="M42" i="10"/>
  <c r="H52" i="10"/>
  <c r="J63" i="10"/>
  <c r="I36" i="10"/>
  <c r="I33" i="10"/>
  <c r="I57" i="10"/>
  <c r="H38" i="10"/>
  <c r="H21" i="10"/>
  <c r="J32" i="10"/>
  <c r="M43" i="10"/>
  <c r="H53" i="10"/>
  <c r="J64" i="10"/>
  <c r="M64" i="10"/>
  <c r="H19" i="10"/>
  <c r="L40" i="10"/>
  <c r="L54" i="10"/>
  <c r="M22" i="10"/>
  <c r="L60" i="10"/>
  <c r="H65" i="10"/>
  <c r="J62" i="12" l="1"/>
  <c r="H99" i="12"/>
  <c r="H2" i="7" s="1"/>
  <c r="G99" i="12"/>
  <c r="G2" i="7" s="1"/>
  <c r="J45" i="12"/>
  <c r="J63" i="12"/>
  <c r="J64" i="12" s="1"/>
  <c r="I65" i="12" s="1"/>
  <c r="I89" i="12"/>
  <c r="V73" i="10"/>
  <c r="V74" i="10"/>
  <c r="V75" i="10"/>
  <c r="V76" i="10"/>
  <c r="V77" i="10"/>
  <c r="V78" i="10"/>
  <c r="V79" i="10"/>
  <c r="V80" i="10"/>
  <c r="V81" i="10"/>
  <c r="V82" i="10"/>
  <c r="D32" i="10"/>
  <c r="D44" i="10"/>
  <c r="D26" i="10"/>
  <c r="D42" i="10"/>
  <c r="D49" i="10"/>
  <c r="D59" i="10"/>
  <c r="D28" i="10"/>
  <c r="D51" i="10"/>
  <c r="D38" i="10"/>
  <c r="D45" i="10"/>
  <c r="D43" i="10"/>
  <c r="D40" i="10"/>
  <c r="D64" i="10"/>
  <c r="D39" i="10"/>
  <c r="D22" i="10"/>
  <c r="D41" i="10"/>
  <c r="D35" i="10"/>
  <c r="D24" i="10"/>
  <c r="D63" i="10"/>
  <c r="D23" i="10"/>
  <c r="D18" i="10"/>
  <c r="D37" i="10"/>
  <c r="D31" i="10"/>
  <c r="D55" i="10"/>
  <c r="D33" i="10"/>
  <c r="D36" i="10"/>
  <c r="D61" i="10"/>
  <c r="D66" i="10"/>
  <c r="D20" i="10"/>
  <c r="D50" i="10"/>
  <c r="D25" i="10"/>
  <c r="D48" i="10"/>
  <c r="D60" i="10"/>
  <c r="D46" i="10"/>
  <c r="D30" i="10"/>
  <c r="D56" i="10"/>
  <c r="D52" i="10"/>
  <c r="D58" i="10"/>
  <c r="D65" i="10"/>
  <c r="D19" i="10"/>
  <c r="D47" i="10"/>
  <c r="D29" i="10"/>
  <c r="D27" i="10"/>
  <c r="D57" i="10"/>
  <c r="D62" i="10"/>
  <c r="D34" i="10"/>
  <c r="D21" i="10"/>
  <c r="D54" i="10"/>
  <c r="D53" i="10"/>
  <c r="H17" i="10"/>
  <c r="H88" i="10"/>
  <c r="G17" i="10"/>
  <c r="I88" i="10"/>
  <c r="D17" i="10"/>
  <c r="G87" i="10"/>
  <c r="G88" i="10"/>
  <c r="H87" i="10"/>
  <c r="J88" i="10"/>
  <c r="F17" i="10"/>
  <c r="J76" i="10"/>
  <c r="H78" i="10"/>
  <c r="J75" i="10"/>
  <c r="I80" i="10"/>
  <c r="G78" i="10"/>
  <c r="H80" i="10"/>
  <c r="G77" i="10"/>
  <c r="I79" i="10"/>
  <c r="G75" i="10"/>
  <c r="J79" i="10"/>
  <c r="H81" i="10"/>
  <c r="I82" i="10"/>
  <c r="J81" i="10"/>
  <c r="J77" i="10"/>
  <c r="H82" i="10"/>
  <c r="I75" i="10"/>
  <c r="H77" i="10"/>
  <c r="J78" i="10"/>
  <c r="J82" i="10"/>
  <c r="I76" i="10"/>
  <c r="G80" i="10"/>
  <c r="H76" i="10"/>
  <c r="G81" i="10"/>
  <c r="I78" i="10"/>
  <c r="H79" i="10"/>
  <c r="G76" i="10"/>
  <c r="J80" i="10"/>
  <c r="H75" i="10"/>
  <c r="G79" i="10"/>
  <c r="G82" i="10"/>
  <c r="I77" i="10"/>
  <c r="I81" i="10"/>
  <c r="J65" i="12" l="1"/>
  <c r="J66" i="12" s="1"/>
  <c r="J67" i="12" s="1"/>
  <c r="J68" i="12" s="1"/>
  <c r="J69" i="12" s="1"/>
  <c r="I69" i="12"/>
  <c r="I63" i="12"/>
  <c r="I68" i="12"/>
  <c r="I66" i="12"/>
  <c r="J44" i="12"/>
  <c r="J99" i="12" s="1"/>
  <c r="J2" i="7" s="1"/>
  <c r="I67" i="12"/>
  <c r="I64" i="12"/>
  <c r="C73" i="10" a="1"/>
  <c r="G90" i="10"/>
  <c r="H90" i="10"/>
  <c r="L17" i="10"/>
  <c r="H74" i="10"/>
  <c r="I70" i="12" l="1"/>
  <c r="J70" i="12"/>
  <c r="C73" i="10"/>
  <c r="A20" i="1" a="1"/>
  <c r="A20" i="1" s="1"/>
  <c r="A17" i="1" a="1"/>
  <c r="A17" i="1" s="1"/>
  <c r="A36" i="1" a="1"/>
  <c r="A36" i="1" s="1"/>
  <c r="B39" i="1" a="1"/>
  <c r="B39" i="1" s="1"/>
  <c r="B41" i="1" a="1"/>
  <c r="B41" i="1" s="1"/>
  <c r="B40" i="1" a="1"/>
  <c r="B40" i="1" s="1"/>
  <c r="B38" i="1" a="1"/>
  <c r="B38" i="1" s="1"/>
  <c r="G74" i="10"/>
  <c r="I74" i="10"/>
  <c r="J74" i="10"/>
  <c r="H73" i="10"/>
  <c r="G73" i="10"/>
  <c r="J71" i="12" l="1"/>
  <c r="I71" i="12"/>
  <c r="J72" i="12" l="1"/>
  <c r="I72" i="12"/>
  <c r="J73" i="12" l="1"/>
  <c r="I73" i="12"/>
  <c r="J74" i="12" l="1"/>
  <c r="I74" i="12"/>
  <c r="J75" i="12" l="1"/>
  <c r="I75" i="12"/>
  <c r="J76" i="12" l="1"/>
  <c r="I76" i="12"/>
  <c r="J77" i="12" l="1"/>
  <c r="I77" i="12"/>
  <c r="I78" i="12" l="1"/>
  <c r="J78" i="12"/>
  <c r="I79" i="12" l="1"/>
  <c r="J79" i="12"/>
  <c r="J80" i="12" l="1"/>
  <c r="I80" i="12"/>
  <c r="J81" i="12" l="1"/>
  <c r="I81" i="12"/>
  <c r="J82" i="12" l="1"/>
  <c r="I82" i="12"/>
  <c r="J83" i="12" l="1"/>
  <c r="I83" i="12"/>
  <c r="J84" i="12" l="1"/>
  <c r="I84" i="12"/>
  <c r="J85" i="12" l="1"/>
  <c r="I85" i="12"/>
  <c r="J86" i="12" l="1"/>
  <c r="I86" i="12"/>
  <c r="J87" i="12" l="1"/>
  <c r="I87" i="12"/>
  <c r="J88" i="12" l="1"/>
  <c r="I88" i="12"/>
  <c r="I90" i="12" s="1"/>
  <c r="J46" i="12" l="1"/>
  <c r="K99" i="12"/>
  <c r="K2" i="7" s="1"/>
  <c r="I17" i="10"/>
  <c r="I87" i="10"/>
  <c r="I90" i="10" l="1"/>
  <c r="E99" i="12"/>
  <c r="L99" i="12"/>
  <c r="L2" i="7" s="1"/>
  <c r="K46" i="12"/>
  <c r="J50" i="12"/>
  <c r="C2" i="5" s="1"/>
  <c r="I73" i="10"/>
  <c r="J52" i="12" l="1"/>
  <c r="J53" i="12" s="1" a="1"/>
  <c r="J53" i="12" s="1"/>
  <c r="L6" i="12" s="1"/>
  <c r="F99" i="12"/>
  <c r="J129" i="12"/>
  <c r="E100" i="12" s="1"/>
  <c r="G100" i="12" s="1"/>
  <c r="H128" i="12"/>
  <c r="G128" i="12"/>
  <c r="I128" i="12" s="1"/>
  <c r="I99" i="12"/>
  <c r="I2" i="7" s="1"/>
  <c r="J128" i="12"/>
  <c r="J17" i="10"/>
  <c r="J87" i="10"/>
  <c r="M17" i="10"/>
  <c r="J90" i="10" l="1"/>
  <c r="J130" i="12"/>
  <c r="H129" i="12"/>
  <c r="G129" i="12"/>
  <c r="I129" i="12" s="1"/>
  <c r="K100" i="12" s="1"/>
  <c r="F100" i="12"/>
  <c r="J73" i="10"/>
  <c r="J100" i="12" l="1"/>
  <c r="L100" i="12" s="1"/>
  <c r="E101" i="12" l="1"/>
  <c r="J131" i="12" l="1"/>
  <c r="F101" i="12"/>
  <c r="H130" i="12"/>
  <c r="G130" i="12"/>
  <c r="I130" i="12" s="1"/>
  <c r="G101" i="12"/>
  <c r="K101" i="12" l="1"/>
  <c r="J101" i="12"/>
  <c r="L101" i="12" s="1"/>
  <c r="E102" i="12" l="1"/>
  <c r="J132" i="12" l="1"/>
  <c r="H131" i="12"/>
  <c r="F102" i="12"/>
  <c r="G131" i="12"/>
  <c r="I131" i="12" s="1"/>
  <c r="G102" i="12"/>
  <c r="K102" i="12" s="1"/>
  <c r="J102" i="12" l="1"/>
  <c r="L102" i="12" s="1"/>
  <c r="E103" i="12" l="1"/>
  <c r="J133" i="12" l="1"/>
  <c r="G132" i="12"/>
  <c r="I132" i="12" s="1"/>
  <c r="H132" i="12"/>
  <c r="F103" i="12"/>
  <c r="G103" i="12"/>
  <c r="K103" i="12" l="1"/>
  <c r="J103" i="12"/>
  <c r="L103" i="12" s="1"/>
  <c r="E104" i="12" l="1"/>
  <c r="J134" i="12" l="1"/>
  <c r="H133" i="12"/>
  <c r="F104" i="12"/>
  <c r="G133" i="12"/>
  <c r="I133" i="12" s="1"/>
  <c r="G104" i="12"/>
  <c r="K104" i="12" s="1"/>
  <c r="J104" i="12" l="1"/>
  <c r="L104" i="12" s="1"/>
  <c r="E105" i="12" l="1"/>
  <c r="G105" i="12" s="1"/>
  <c r="J135" i="12" l="1"/>
  <c r="F105" i="12"/>
  <c r="G134" i="12"/>
  <c r="I134" i="12" s="1"/>
  <c r="H134" i="12"/>
  <c r="J105" i="12" s="1"/>
  <c r="K105" i="12"/>
  <c r="L105" i="12" s="1"/>
  <c r="E106" i="12" l="1"/>
  <c r="G106" i="12" s="1"/>
  <c r="J136" i="12" l="1"/>
  <c r="G135" i="12"/>
  <c r="I135" i="12" s="1"/>
  <c r="H135" i="12"/>
  <c r="F106" i="12"/>
  <c r="K106" i="12"/>
  <c r="J106" i="12" l="1"/>
  <c r="L106" i="12" s="1"/>
  <c r="G107" i="12" s="1"/>
  <c r="K107" i="12"/>
  <c r="L107" i="12"/>
  <c r="G108" i="12" s="1"/>
  <c r="E107" i="12"/>
  <c r="J137" i="12" l="1"/>
  <c r="E108" i="12"/>
  <c r="G136" i="12"/>
  <c r="I136" i="12" s="1"/>
  <c r="H136" i="12"/>
  <c r="J107" i="12" s="1"/>
  <c r="F107" i="12"/>
  <c r="K108" i="12"/>
  <c r="L108" i="12"/>
  <c r="G109" i="12" s="1"/>
  <c r="K109" i="12" l="1"/>
  <c r="L109" i="12"/>
  <c r="G110" i="12" s="1"/>
  <c r="J138" i="12"/>
  <c r="H137" i="12"/>
  <c r="J108" i="12" s="1"/>
  <c r="F108" i="12"/>
  <c r="E109" i="12"/>
  <c r="G137" i="12"/>
  <c r="I137" i="12" s="1"/>
  <c r="J139" i="12" l="1"/>
  <c r="F109" i="12"/>
  <c r="H138" i="12"/>
  <c r="J109" i="12" s="1"/>
  <c r="E110" i="12"/>
  <c r="G138" i="12"/>
  <c r="I138" i="12" s="1"/>
  <c r="K110" i="12"/>
  <c r="L110" i="12"/>
  <c r="G111" i="12" s="1"/>
  <c r="K111" i="12" l="1"/>
  <c r="L111" i="12"/>
  <c r="G112" i="12" s="1"/>
  <c r="K112" i="12" s="1"/>
  <c r="L112" i="12" s="1"/>
  <c r="G113" i="12" s="1"/>
  <c r="H139" i="12"/>
  <c r="J110" i="12" s="1"/>
  <c r="F110" i="12"/>
  <c r="J141" i="12"/>
  <c r="J140" i="12"/>
  <c r="E111" i="12"/>
  <c r="G139" i="12"/>
  <c r="I139" i="12" s="1"/>
  <c r="J142" i="12" l="1"/>
  <c r="H141" i="12"/>
  <c r="J111" i="12" s="1"/>
  <c r="E112" i="12"/>
  <c r="G140" i="12"/>
  <c r="I140" i="12" s="1"/>
  <c r="H140" i="12"/>
  <c r="F111" i="12"/>
  <c r="G141" i="12"/>
  <c r="I141" i="12" s="1"/>
  <c r="K113" i="12"/>
  <c r="L113" i="12" s="1"/>
  <c r="G114" i="12" s="1"/>
  <c r="K114" i="12" s="1"/>
  <c r="L114" i="12" s="1"/>
  <c r="G115" i="12" s="1"/>
  <c r="K115" i="12" l="1"/>
  <c r="L115" i="12"/>
  <c r="G116" i="12" s="1"/>
  <c r="J143" i="12"/>
  <c r="G142" i="12"/>
  <c r="I142" i="12" s="1"/>
  <c r="F112" i="12"/>
  <c r="H142" i="12"/>
  <c r="J112" i="12" s="1"/>
  <c r="E113" i="12"/>
  <c r="J144" i="12" l="1"/>
  <c r="F113" i="12"/>
  <c r="H143" i="12"/>
  <c r="J113" i="12" s="1"/>
  <c r="G143" i="12"/>
  <c r="I143" i="12" s="1"/>
  <c r="E114" i="12"/>
  <c r="K116" i="12"/>
  <c r="L116" i="12" s="1"/>
  <c r="G117" i="12" s="1"/>
  <c r="K117" i="12" l="1"/>
  <c r="L117" i="12"/>
  <c r="G118" i="12" s="1"/>
  <c r="J145" i="12"/>
  <c r="G144" i="12"/>
  <c r="I144" i="12" s="1"/>
  <c r="E115" i="12"/>
  <c r="F114" i="12"/>
  <c r="H144" i="12"/>
  <c r="J114" i="12" s="1"/>
  <c r="J146" i="12" l="1"/>
  <c r="H145" i="12"/>
  <c r="J115" i="12" s="1"/>
  <c r="F115" i="12"/>
  <c r="E116" i="12"/>
  <c r="G145" i="12"/>
  <c r="I145" i="12" s="1"/>
  <c r="K118" i="12"/>
  <c r="L118" i="12"/>
  <c r="G119" i="12" s="1"/>
  <c r="K119" i="12" l="1"/>
  <c r="L119" i="12" s="1"/>
  <c r="G120" i="12" s="1"/>
  <c r="J147" i="12"/>
  <c r="G146" i="12"/>
  <c r="I146" i="12" s="1"/>
  <c r="F116" i="12"/>
  <c r="E117" i="12"/>
  <c r="H146" i="12"/>
  <c r="J116" i="12" s="1"/>
  <c r="K120" i="12" l="1"/>
  <c r="L120" i="12"/>
  <c r="G121" i="12" s="1"/>
  <c r="J148" i="12"/>
  <c r="F117" i="12"/>
  <c r="H147" i="12"/>
  <c r="J117" i="12" s="1"/>
  <c r="G147" i="12"/>
  <c r="I147" i="12" s="1"/>
  <c r="E118" i="12"/>
  <c r="J149" i="12" l="1"/>
  <c r="F118" i="12"/>
  <c r="E119" i="12"/>
  <c r="G148" i="12"/>
  <c r="I148" i="12" s="1"/>
  <c r="H148" i="12"/>
  <c r="J118" i="12" s="1"/>
  <c r="K121" i="12"/>
  <c r="L121" i="12" s="1"/>
  <c r="G122" i="12" s="1"/>
  <c r="K122" i="12" s="1"/>
  <c r="L122" i="12" s="1"/>
  <c r="G123" i="12" s="1"/>
  <c r="K123" i="12" l="1"/>
  <c r="L123" i="12"/>
  <c r="J150" i="12"/>
  <c r="G149" i="12"/>
  <c r="I149" i="12" s="1"/>
  <c r="H149" i="12"/>
  <c r="J119" i="12" s="1"/>
  <c r="E120" i="12"/>
  <c r="F119" i="12"/>
  <c r="J151" i="12" l="1"/>
  <c r="E121" i="12"/>
  <c r="G150" i="12"/>
  <c r="I150" i="12" s="1"/>
  <c r="F120" i="12"/>
  <c r="H150" i="12"/>
  <c r="J120" i="12" s="1"/>
  <c r="J152" i="12" l="1"/>
  <c r="H151" i="12"/>
  <c r="J121" i="12" s="1"/>
  <c r="E122" i="12"/>
  <c r="G151" i="12"/>
  <c r="I151" i="12" s="1"/>
  <c r="F121" i="12"/>
  <c r="J153" i="12" l="1"/>
  <c r="G152" i="12"/>
  <c r="I152" i="12" s="1"/>
  <c r="E123" i="12"/>
  <c r="F122" i="12"/>
  <c r="H152" i="12"/>
  <c r="J122" i="12" s="1"/>
  <c r="H153" i="12" l="1"/>
  <c r="J123" i="12" s="1"/>
  <c r="F123" i="12"/>
  <c r="G153" i="12"/>
  <c r="I153" i="1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<sst xmlns="http://schemas.openxmlformats.org/spreadsheetml/2006/main" count="329" uniqueCount="248">
  <si>
    <t>Reviewer</t>
  </si>
  <si>
    <t>Preparer</t>
  </si>
  <si>
    <t>Manager</t>
  </si>
  <si>
    <t>Partner</t>
  </si>
  <si>
    <t>Tools and Calculators</t>
  </si>
  <si>
    <t>Gap</t>
  </si>
  <si>
    <t>Insert</t>
  </si>
  <si>
    <t>SortId</t>
  </si>
  <si>
    <t>SortOrder</t>
  </si>
  <si>
    <t>AccountName</t>
  </si>
  <si>
    <t>Notes</t>
  </si>
  <si>
    <t>Flag</t>
  </si>
  <si>
    <t>Items</t>
  </si>
  <si>
    <t>Status</t>
  </si>
  <si>
    <t>StatusUpdatedBy</t>
  </si>
  <si>
    <t>StatusChangeDate</t>
  </si>
  <si>
    <t>RollOver</t>
  </si>
  <si>
    <t>End</t>
  </si>
  <si>
    <t>Tolerance</t>
  </si>
  <si>
    <t>Id</t>
  </si>
  <si>
    <t>Title</t>
  </si>
  <si>
    <t>Flagged</t>
  </si>
  <si>
    <t>Last Updated By</t>
  </si>
  <si>
    <t>Trial Balance last refreshed on Tue Nov 26 2024</t>
  </si>
  <si>
    <t>Index sheet updated</t>
  </si>
  <si>
    <t>BinderId</t>
  </si>
  <si>
    <t>5b19301f-6048-445c-af57-40aae8ca7172</t>
  </si>
  <si>
    <t>BinderVersion</t>
  </si>
  <si>
    <t>DataVersion</t>
  </si>
  <si>
    <t>HomeVersion</t>
  </si>
  <si>
    <t>Left</t>
  </si>
  <si>
    <t>Centre</t>
  </si>
  <si>
    <t>Right</t>
  </si>
  <si>
    <t>Entity Details</t>
  </si>
  <si>
    <t>Name of client</t>
  </si>
  <si>
    <t>Client code</t>
  </si>
  <si>
    <t>ABN/TFN</t>
  </si>
  <si>
    <t>Entity Type</t>
  </si>
  <si>
    <t>Jurisdiction</t>
  </si>
  <si>
    <t>Period start date</t>
  </si>
  <si>
    <t>Period end date</t>
  </si>
  <si>
    <t>Tax year</t>
  </si>
  <si>
    <t>Small business entity</t>
  </si>
  <si>
    <t>Base Rate entity</t>
  </si>
  <si>
    <t>Contact Details</t>
  </si>
  <si>
    <t>Contact name</t>
  </si>
  <si>
    <t>Telephone</t>
  </si>
  <si>
    <t>Email</t>
  </si>
  <si>
    <t>Software Details</t>
  </si>
  <si>
    <t>Client software</t>
  </si>
  <si>
    <t>Login name</t>
  </si>
  <si>
    <t>Password</t>
  </si>
  <si>
    <t>Firm Details</t>
  </si>
  <si>
    <t>Name of firm</t>
  </si>
  <si>
    <t>Preparer Date</t>
  </si>
  <si>
    <t>Reviewer Date</t>
  </si>
  <si>
    <t>Options</t>
  </si>
  <si>
    <t>Reconciliation Accuracy (Tolerance)</t>
  </si>
  <si>
    <t>MuM001</t>
  </si>
  <si>
    <t xml:space="preserve"> </t>
  </si>
  <si>
    <t>Company</t>
  </si>
  <si>
    <t>Springrange Holdings Pty Ltd</t>
  </si>
  <si>
    <t>Fleur Parsons</t>
  </si>
  <si>
    <t>Main Office</t>
  </si>
  <si>
    <t>Callum Matchett</t>
  </si>
  <si>
    <t>AU</t>
  </si>
  <si>
    <t>No</t>
  </si>
  <si>
    <t>Source Account Id</t>
  </si>
  <si>
    <t>Account No</t>
  </si>
  <si>
    <t>Account Name</t>
  </si>
  <si>
    <t>Row Type</t>
  </si>
  <si>
    <t>Taxonomy Id</t>
  </si>
  <si>
    <t>Taxonomy</t>
  </si>
  <si>
    <t>Is Primary Production</t>
  </si>
  <si>
    <t>Is Non Deductible</t>
  </si>
  <si>
    <t>Mapping Code</t>
  </si>
  <si>
    <t>Benchmark Code</t>
  </si>
  <si>
    <t>Ledger Side</t>
  </si>
  <si>
    <t>Balance</t>
  </si>
  <si>
    <t>Balance Dr/(Cr)</t>
  </si>
  <si>
    <t>Primary Dr/(Cr)</t>
  </si>
  <si>
    <t>CategoryName</t>
  </si>
  <si>
    <t>SheetName</t>
  </si>
  <si>
    <t>SheetId</t>
  </si>
  <si>
    <t>TemplateId</t>
  </si>
  <si>
    <t>SumCriteria</t>
  </si>
  <si>
    <t>Workpaper Record Id</t>
  </si>
  <si>
    <t>Worksheet Id</t>
  </si>
  <si>
    <t>Record Title</t>
  </si>
  <si>
    <t>Total Loans</t>
  </si>
  <si>
    <t>Total UPE Held on Sub-Trust (PS LA 2010/4)</t>
  </si>
  <si>
    <t>Total Division 7A Loans</t>
  </si>
  <si>
    <t>Total Division 7A and UPE Held on Sub-Trust Loans</t>
  </si>
  <si>
    <r>
      <rPr>
        <b/>
        <sz val="11"/>
        <color theme="0"/>
        <rFont val="Wingdings 3"/>
        <family val="1"/>
        <charset val="2"/>
      </rPr>
      <t>P</t>
    </r>
    <r>
      <rPr>
        <b/>
        <sz val="11"/>
        <color theme="0"/>
        <rFont val="Calibri"/>
        <family val="1"/>
        <charset val="2"/>
        <scheme val="minor"/>
      </rPr>
      <t xml:space="preserve">  Update Display</t>
    </r>
  </si>
  <si>
    <r>
      <t xml:space="preserve">   Number of Directors </t>
    </r>
    <r>
      <rPr>
        <sz val="9"/>
        <color theme="0" tint="-0.499984740745262"/>
        <rFont val="Calibri"/>
        <family val="2"/>
        <scheme val="minor"/>
      </rPr>
      <t>(Max. 10)</t>
    </r>
    <r>
      <rPr>
        <b/>
        <sz val="10"/>
        <color theme="1"/>
        <rFont val="Calibri"/>
        <family val="2"/>
        <scheme val="minor"/>
      </rPr>
      <t xml:space="preserve"> </t>
    </r>
    <r>
      <rPr>
        <b/>
        <sz val="10"/>
        <color rgb="FFC00000"/>
        <rFont val="Calibri"/>
        <family val="2"/>
        <scheme val="minor"/>
      </rPr>
      <t>*</t>
    </r>
  </si>
  <si>
    <r>
      <rPr>
        <b/>
        <sz val="11"/>
        <color theme="0"/>
        <rFont val="Wingdings 3"/>
        <family val="1"/>
        <charset val="2"/>
      </rPr>
      <t>P</t>
    </r>
    <r>
      <rPr>
        <b/>
        <sz val="11"/>
        <color theme="0"/>
        <rFont val="Calibri"/>
        <family val="1"/>
        <charset val="2"/>
        <scheme val="minor"/>
      </rPr>
      <t xml:space="preserve"> Update Summary Table</t>
    </r>
  </si>
  <si>
    <t>Summary by Director/Borrower</t>
  </si>
  <si>
    <t>Notes / Hyperlinks</t>
  </si>
  <si>
    <t xml:space="preserve">Over (Under)
Min. Repayment  </t>
  </si>
  <si>
    <t>Minimum Repayment</t>
  </si>
  <si>
    <t>Closing Balance</t>
  </si>
  <si>
    <t>Interest</t>
  </si>
  <si>
    <t>Actual Payments</t>
  </si>
  <si>
    <t>Opening Balance</t>
  </si>
  <si>
    <t>Worksheet Title</t>
  </si>
  <si>
    <r>
      <t xml:space="preserve">   Number of Loans </t>
    </r>
    <r>
      <rPr>
        <sz val="9"/>
        <color theme="0" tint="-0.499984740745262"/>
        <rFont val="Calibri"/>
        <family val="2"/>
        <scheme val="minor"/>
      </rPr>
      <t>(Max. 50)</t>
    </r>
    <r>
      <rPr>
        <b/>
        <sz val="10"/>
        <color theme="1"/>
        <rFont val="Calibri"/>
        <family val="2"/>
        <scheme val="minor"/>
      </rPr>
      <t xml:space="preserve"> </t>
    </r>
    <r>
      <rPr>
        <b/>
        <sz val="10"/>
        <color rgb="FFC00000"/>
        <rFont val="Calibri"/>
        <family val="2"/>
        <scheme val="minor"/>
      </rPr>
      <t>*</t>
    </r>
    <r>
      <rPr>
        <b/>
        <sz val="10"/>
        <color theme="1"/>
        <rFont val="Calibri"/>
        <family val="2"/>
        <scheme val="minor"/>
      </rPr>
      <t xml:space="preserve">   </t>
    </r>
  </si>
  <si>
    <t>Summary by Loan</t>
  </si>
  <si>
    <r>
      <t xml:space="preserve">Ensure the </t>
    </r>
    <r>
      <rPr>
        <b/>
        <sz val="10"/>
        <color theme="0" tint="-0.499984740745262"/>
        <rFont val="Calibri"/>
        <family val="2"/>
        <scheme val="minor"/>
      </rPr>
      <t>Number of Loans</t>
    </r>
    <r>
      <rPr>
        <sz val="10"/>
        <color theme="0" tint="-0.499984740745262"/>
        <rFont val="Calibri"/>
        <family val="2"/>
        <scheme val="minor"/>
      </rPr>
      <t xml:space="preserve"> and </t>
    </r>
    <r>
      <rPr>
        <b/>
        <sz val="10"/>
        <color theme="0" tint="-0.499984740745262"/>
        <rFont val="Calibri"/>
        <family val="2"/>
        <scheme val="minor"/>
      </rPr>
      <t>Number of Directors</t>
    </r>
    <r>
      <rPr>
        <sz val="10"/>
        <color theme="0" tint="-0.499984740745262"/>
        <rFont val="Calibri"/>
        <family val="2"/>
        <scheme val="minor"/>
      </rPr>
      <t xml:space="preserve"> cells are correct and then click the </t>
    </r>
    <r>
      <rPr>
        <b/>
        <sz val="10"/>
        <color theme="0" tint="-0.499984740745262"/>
        <rFont val="Calibri"/>
        <family val="2"/>
        <scheme val="minor"/>
      </rPr>
      <t>Update Display</t>
    </r>
    <r>
      <rPr>
        <sz val="10"/>
        <color theme="0" tint="-0.499984740745262"/>
        <rFont val="Calibri"/>
        <family val="2"/>
        <scheme val="minor"/>
      </rPr>
      <t xml:space="preserve"> buttons.</t>
    </r>
  </si>
  <si>
    <r>
      <rPr>
        <b/>
        <sz val="11"/>
        <color rgb="FF27A9E1"/>
        <rFont val="Webdings"/>
        <family val="1"/>
        <charset val="2"/>
      </rPr>
      <t>i</t>
    </r>
    <r>
      <rPr>
        <b/>
        <sz val="11"/>
        <color rgb="FF27A9E1"/>
        <rFont val="Calibri"/>
        <family val="1"/>
        <charset val="2"/>
        <scheme val="minor"/>
      </rPr>
      <t xml:space="preserve"> The purpose of this worksheet is to provide a summary of loans from ALL </t>
    </r>
    <r>
      <rPr>
        <sz val="11"/>
        <color rgb="FF27A9E1"/>
        <rFont val="Calibri"/>
        <family val="2"/>
        <scheme val="minor"/>
      </rPr>
      <t>G31 Division 7A</t>
    </r>
    <r>
      <rPr>
        <b/>
        <sz val="11"/>
        <color rgb="FF27A9E1"/>
        <rFont val="Calibri"/>
        <family val="1"/>
        <charset val="2"/>
        <scheme val="minor"/>
      </rPr>
      <t xml:space="preserve"> and </t>
    </r>
    <r>
      <rPr>
        <sz val="11"/>
        <color rgb="FF27A9E1"/>
        <rFont val="Calibri"/>
        <family val="2"/>
        <scheme val="minor"/>
      </rPr>
      <t>D08 UPE Repayment Calculator</t>
    </r>
    <r>
      <rPr>
        <b/>
        <sz val="11"/>
        <color rgb="FF27A9E1"/>
        <rFont val="Calibri"/>
        <family val="1"/>
        <charset val="2"/>
        <scheme val="minor"/>
      </rPr>
      <t xml:space="preserve"> worksheets.</t>
    </r>
  </si>
  <si>
    <t>5.24.1</t>
  </si>
  <si>
    <t>Version:</t>
  </si>
  <si>
    <t>Company Debit Loan Summary</t>
  </si>
  <si>
    <t>BF_Hide</t>
  </si>
  <si>
    <t>Jurisdiction:</t>
  </si>
  <si>
    <t>f6f11064-7a7f-48da-aa32-668ea15f4956</t>
  </si>
  <si>
    <t>Workpaper ID:</t>
  </si>
  <si>
    <t>Show Record</t>
  </si>
  <si>
    <t>D03 Company Debit Loan Summary</t>
  </si>
  <si>
    <t>D03_Number_of_Directors</t>
  </si>
  <si>
    <t>D03_Number_of_Loans</t>
  </si>
  <si>
    <t>4ae6fe27-1e67-40bc-a1a9-11f7e174cbaa</t>
  </si>
  <si>
    <t>Help Files</t>
  </si>
  <si>
    <t>562eb0e3-7e5e-457e-b352-4ae4a03cf494</t>
  </si>
  <si>
    <t>Overview</t>
  </si>
  <si>
    <t>15877f68-13b2-4d25-b370-93ed62a07412</t>
  </si>
  <si>
    <t>Summary</t>
  </si>
  <si>
    <t>9ab026de-5e97-410e-8239-28c30706fae2</t>
  </si>
  <si>
    <t>Created</t>
  </si>
  <si>
    <t>callum.matchett@businessfitness.com</t>
  </si>
  <si>
    <t>a08defab-44f0-444d-b83b-b4348d5bfb2a</t>
  </si>
  <si>
    <t>Summary Worksheets</t>
  </si>
  <si>
    <t>Not Started</t>
  </si>
  <si>
    <t>71077bd3-9ee6-4287-ac58-5c11c84c375f</t>
  </si>
  <si>
    <t>Days in Year</t>
  </si>
  <si>
    <t>INTEREST RATE</t>
  </si>
  <si>
    <t>Remaining Year</t>
  </si>
  <si>
    <t>YEAR</t>
  </si>
  <si>
    <t>MIN REPAYMENT CALCULATOR SECTION</t>
  </si>
  <si>
    <t>Minimum Repayment Required</t>
  </si>
  <si>
    <t xml:space="preserve">Over (Under) Minimum Repayment  </t>
  </si>
  <si>
    <t>Actual Payment Made</t>
  </si>
  <si>
    <t>Year</t>
  </si>
  <si>
    <t>Director</t>
  </si>
  <si>
    <r>
      <rPr>
        <b/>
        <sz val="11"/>
        <color rgb="FF27A9E1"/>
        <rFont val="Webdings"/>
        <family val="1"/>
        <charset val="2"/>
      </rPr>
      <t>i</t>
    </r>
    <r>
      <rPr>
        <b/>
        <sz val="11"/>
        <color rgb="FF27A9E1"/>
        <rFont val="Calibri"/>
        <family val="2"/>
        <scheme val="minor"/>
      </rPr>
      <t xml:space="preserve"> The minimum repayment and interest calculations for years after the current year are indicative values only, based on the current interest rate.
The actual minimum repayments will depend on the benchmark interest rate for each year.</t>
    </r>
  </si>
  <si>
    <t>Minimum Repayment Calculator</t>
  </si>
  <si>
    <t>Balance 
of Principal Outstanding</t>
  </si>
  <si>
    <t>Interest
at the Benchmark Interest Rate</t>
  </si>
  <si>
    <t>Repayments</t>
  </si>
  <si>
    <t>Drawdowns</t>
  </si>
  <si>
    <r>
      <t xml:space="preserve">Date </t>
    </r>
    <r>
      <rPr>
        <b/>
        <sz val="10"/>
        <color rgb="FFC00000"/>
        <rFont val="Calibri"/>
        <family val="2"/>
      </rPr>
      <t>*</t>
    </r>
  </si>
  <si>
    <t>Interest is calculated on the daily balance of principal outstanding, but only debited to the account on 30 June or the date the loan is repaid in full.
Total interest for the year is the amount appearing at the bottom of the table.</t>
  </si>
  <si>
    <r>
      <rPr>
        <b/>
        <sz val="11"/>
        <color rgb="FF27A9E1"/>
        <rFont val="Webdings"/>
        <family val="1"/>
        <charset val="2"/>
      </rPr>
      <t>i</t>
    </r>
    <r>
      <rPr>
        <b/>
        <sz val="11"/>
        <color rgb="FF27A9E1"/>
        <rFont val="Calibri"/>
        <family val="2"/>
        <scheme val="minor"/>
      </rPr>
      <t xml:space="preserve"> Enter transactions for the year. </t>
    </r>
  </si>
  <si>
    <t>Transactions for the Year</t>
  </si>
  <si>
    <t>Variance</t>
  </si>
  <si>
    <t>Balance per Ledger</t>
  </si>
  <si>
    <t>Total Loan</t>
  </si>
  <si>
    <t>This is a separate loan - use a new worksheet</t>
  </si>
  <si>
    <t>Drawdowns During Year</t>
  </si>
  <si>
    <t>Balance of Loan Not Repaid by End of Year</t>
  </si>
  <si>
    <t>Balance of Loan Not Repaid by Lodgement Day</t>
  </si>
  <si>
    <t>Minimum Yearly Repayment for the Current Financial Year</t>
  </si>
  <si>
    <t>No interest is payable in respect of the year the loan is made.</t>
  </si>
  <si>
    <t>Current Year's Benchmark Interest Rate</t>
  </si>
  <si>
    <r>
      <t xml:space="preserve">Lodgement Date </t>
    </r>
    <r>
      <rPr>
        <sz val="9"/>
        <color theme="0" tint="-0.499984740745262"/>
        <rFont val="Calibri"/>
        <family val="2"/>
      </rPr>
      <t>(if applicable)</t>
    </r>
  </si>
  <si>
    <r>
      <t xml:space="preserve">Remaining Term </t>
    </r>
    <r>
      <rPr>
        <sz val="9"/>
        <color theme="0" tint="-0.499984740745262"/>
        <rFont val="Calibri"/>
        <family val="2"/>
      </rPr>
      <t>(years)</t>
    </r>
  </si>
  <si>
    <r>
      <t xml:space="preserve">Term of Loan </t>
    </r>
    <r>
      <rPr>
        <sz val="9"/>
        <color theme="0" tint="-0.499984740745262"/>
        <rFont val="Calibri"/>
        <family val="2"/>
      </rPr>
      <t>(years)</t>
    </r>
  </si>
  <si>
    <t>Income Year of Loan</t>
  </si>
  <si>
    <t>Is the Loan Secured or Unsecured?</t>
  </si>
  <si>
    <t xml:space="preserve">Director Name </t>
  </si>
  <si>
    <t>Loan Name</t>
  </si>
  <si>
    <t>Notes/Hyperlinks</t>
  </si>
  <si>
    <t>Loan Details</t>
  </si>
  <si>
    <t>-</t>
  </si>
  <si>
    <t>Benchmark Interest Rates</t>
  </si>
  <si>
    <t>ATO Division 7A calculator and decision tool</t>
  </si>
  <si>
    <t>ATO Division 7A and trusts</t>
  </si>
  <si>
    <t>ATO Section 109R Some Payments Relating to Loans not Taken into Account</t>
  </si>
  <si>
    <t>Refer to:</t>
  </si>
  <si>
    <r>
      <rPr>
        <b/>
        <sz val="11"/>
        <color rgb="FF27A9E1"/>
        <rFont val="Webdings"/>
        <family val="1"/>
        <charset val="2"/>
      </rPr>
      <t>i</t>
    </r>
    <r>
      <rPr>
        <b/>
        <sz val="11"/>
        <color rgb="FF27A9E1"/>
        <rFont val="Calibri"/>
        <family val="1"/>
        <charset val="2"/>
        <scheme val="minor"/>
      </rPr>
      <t xml:space="preserve"> The purpose of this worksheet is to assist in determining the effect of Division 7A in relation to payments and loans and assist in meeting obligations on complying loans.</t>
    </r>
  </si>
  <si>
    <r>
      <rPr>
        <b/>
        <sz val="11"/>
        <color theme="0"/>
        <rFont val="Wingdings 3"/>
        <family val="1"/>
        <charset val="2"/>
      </rPr>
      <t>P</t>
    </r>
    <r>
      <rPr>
        <b/>
        <sz val="11"/>
        <color theme="0"/>
        <rFont val="Calibri"/>
        <family val="2"/>
        <scheme val="minor"/>
      </rPr>
      <t xml:space="preserve"> Refresh</t>
    </r>
  </si>
  <si>
    <t>5.24.5</t>
  </si>
  <si>
    <t>Division 7A - Interest &amp; Minimum Repayment Calculator</t>
  </si>
  <si>
    <t>1c70b874-6606-4d9f-be68-5e1e16ae849a</t>
  </si>
  <si>
    <t>ClBalance</t>
  </si>
  <si>
    <t>MinRepayments</t>
  </si>
  <si>
    <t>UnderOver</t>
  </si>
  <si>
    <t>OpBalance</t>
  </si>
  <si>
    <t>58fea58e-89b0-45a0-8ff2-1b94149fbb67</t>
  </si>
  <si>
    <t>8acd997b-c45f-44df-b52a-aa0e56a6969f</t>
  </si>
  <si>
    <t>Div 7A Calculator</t>
  </si>
  <si>
    <t>G31 Div 7A Loan Calculator</t>
  </si>
  <si>
    <t>CategoryNamesList</t>
  </si>
  <si>
    <t>G31_LoanBalance</t>
  </si>
  <si>
    <t>Interest_Rate</t>
  </si>
  <si>
    <t>5843ca72-ff96-4333-a63b-a8c3ea30f161</t>
  </si>
  <si>
    <t>Director Loan - 2023</t>
  </si>
  <si>
    <t>Director A</t>
  </si>
  <si>
    <t>Unsecured</t>
  </si>
  <si>
    <t>(ii) A loan, or a part of a loan, being forgiven.</t>
  </si>
  <si>
    <t>(i)  A dividend (being a later dividend for the purposes of section 109ZC or a subsequent dividend for the purposes of former subsection 108(2)) being paid by the company to the extent of the unfranked part of the dividend; or</t>
  </si>
  <si>
    <t xml:space="preserve">Amounts set off against loans that have been taken by former section 108 , or section 109D or 109E , to be dividends, other than such amounts that are set off as a result of:
</t>
  </si>
  <si>
    <t>(b)</t>
  </si>
  <si>
    <t>Any repayments to the company of loans or amounts that have been taken by former section 108 , or section 109D or 109E , to be dividends; and</t>
  </si>
  <si>
    <t>(a)</t>
  </si>
  <si>
    <t>Repayments of non-commercial loans mean the total of:</t>
  </si>
  <si>
    <t>Repayments of Non-Commercial Loans</t>
  </si>
  <si>
    <t>E</t>
  </si>
  <si>
    <t>Paid-up share value is the company's paid-up share capital at the end of its income year.</t>
  </si>
  <si>
    <t>Paid-Up Share Value</t>
  </si>
  <si>
    <t>D</t>
  </si>
  <si>
    <t>The total amount worked out under paragraph (b) might be reduced under subsection (2A).</t>
  </si>
  <si>
    <t xml:space="preserve">Any amounts that are included in the assessable income of shareholders, or associates of shareholders, of the company under section 109XB as if the amounts were dividends paid by the company in earlier years of income. </t>
  </si>
  <si>
    <t>(ii) Are shown as assets in the company's accounting records at the end of year of income; and</t>
  </si>
  <si>
    <t>(i)  The company is taken under former section 108 or section 109D or 109E, to have paid as dividends in earlier years of income; and</t>
  </si>
  <si>
    <t>Any amounts that:</t>
  </si>
  <si>
    <t>A non-commercial loan is the total of:</t>
  </si>
  <si>
    <t>Non-Commercial Loans</t>
  </si>
  <si>
    <t>C</t>
  </si>
  <si>
    <t>A Division 7A amount is the total of any payments (under section 109C) or forgiven debts (under section 109F) that are treated as dividends in the income year apart from this section.</t>
  </si>
  <si>
    <t>Division 7A Amounts</t>
  </si>
  <si>
    <t>B</t>
  </si>
  <si>
    <t>If the Commissioner considers that the company's accounting records significantly undervalue or overvalue its assets or undervalue or overvalue its provisions, the Commissioner may substitute a value that the Commissioner considers is appropriate.</t>
  </si>
  <si>
    <t>(iv) Other provisions prescribed under regulations made for the purposes of this subparagraph.</t>
  </si>
  <si>
    <t>(iii) Provisions for amortisation of intellectual property and trademarks;</t>
  </si>
  <si>
    <t>(ii)   Provision for annual leave and long service leave;</t>
  </si>
  <si>
    <t>(i)    Provision for depreciation;</t>
  </si>
  <si>
    <t>The following provisions (according to the company's accounting records):</t>
  </si>
  <si>
    <t>The present legal obligations of the company to persons other than the company; and</t>
  </si>
  <si>
    <t>Net Assets means the amount (if any), at the end of the company's year of income, by which the company's assets (according to the company's accounting records) exceed the sum of:</t>
  </si>
  <si>
    <t>Net Assets</t>
  </si>
  <si>
    <t>A</t>
  </si>
  <si>
    <t>Notes to the Above</t>
  </si>
  <si>
    <t>Distributable Surplus (Maximum Division 7A Dividend Possible)</t>
  </si>
  <si>
    <t>Less: Repayments of Non-Commercial Loans</t>
  </si>
  <si>
    <t>Less: Paid-Up Share Value</t>
  </si>
  <si>
    <t>Less: Non-Commercial Loans</t>
  </si>
  <si>
    <t>Amount</t>
  </si>
  <si>
    <t>Note</t>
  </si>
  <si>
    <t>Distributable Surplus</t>
  </si>
  <si>
    <r>
      <t xml:space="preserve">Refer to  </t>
    </r>
    <r>
      <rPr>
        <b/>
        <u/>
        <sz val="10"/>
        <color theme="0" tint="-0.499984740745262"/>
        <rFont val="Calibri"/>
        <family val="2"/>
      </rPr>
      <t>ATO - Division 7A - Distributable Surplus</t>
    </r>
  </si>
  <si>
    <t>Please note that if the amount of the deemed dividend exceeds the distributable surplus then the deemed dividend is limited to the distributable surplus.</t>
  </si>
  <si>
    <r>
      <rPr>
        <b/>
        <sz val="11"/>
        <color rgb="FF27A9E1"/>
        <rFont val="Webdings"/>
        <family val="1"/>
        <charset val="2"/>
      </rPr>
      <t>i</t>
    </r>
    <r>
      <rPr>
        <b/>
        <sz val="11"/>
        <color rgb="FF27A9E1"/>
        <rFont val="Calibri"/>
        <family val="2"/>
      </rPr>
      <t xml:space="preserve"> The purpose of this worksheet is to provide guidance on the calculation of the company's distributable surplus for the year ended 30 June. </t>
    </r>
  </si>
  <si>
    <t>Distributable Surplus Calculation</t>
  </si>
  <si>
    <t>5.24.0</t>
  </si>
  <si>
    <t>C497F85C-454A-4F7D-A44E-F2F901960028</t>
  </si>
  <si>
    <t>a86a5435-e3a0-4ef7-aa83-5de606178e12</t>
  </si>
  <si>
    <t>5c316729-cb35-4b04-b785-00be4e653fdb</t>
  </si>
  <si>
    <t>D06 Distributable Surplus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</si>
</sst>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C09]d\ mmmm\ yyyy;@"/>
    <numFmt numFmtId="165" formatCode="_(&quot;$&quot;* #,##0.00_);_(&quot;$&quot;* \(#,##0.00\);_(&quot;$&quot;* &quot;-&quot;_);_(@_)"/>
    <numFmt numFmtId="166" formatCode="_(* #,##0.00_);_(* \(#,##0.00\);_(* &quot;-&quot;_);_(@_)"/>
    <numFmt numFmtId="167" formatCode="_-* #,##0.00_-;\-* #,##0.00_-;_-* &quot;-&quot;??_-;_-@_-"/>
    <numFmt numFmtId="168" formatCode="_-&quot;$&quot;* #,##0.00_-;\-&quot;$&quot;* #,##0.00_-;_-&quot;$&quot;* &quot;-&quot;??_-;_-@_-"/>
    <numFmt numFmtId="169" formatCode="_-* #,##0.00_-;* \(#,##0.00\)_-;_-* &quot;-&quot;??_-;_-@_-"/>
  </numFmts>
  <fonts count="84">
    <font>
      <sz val="11"/>
      <color indexed="8"/>
      <name val="Calibri"/>
      <family val="2"/>
    </font>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font>
    <font>
      <b/>
      <sz val="18"/>
      <name val="Calibri"/>
      <family val="2"/>
    </font>
    <font>
      <b/>
      <sz val="14"/>
      <name val="Calibri"/>
      <family val="2"/>
    </font>
    <font>
      <sz val="12"/>
      <name val="Calibri"/>
      <family val="2"/>
    </font>
    <font>
      <b/>
      <sz val="11"/>
      <color indexed="8"/>
      <name val="Calibri"/>
    </font>
    <font>
      <b/>
      <sz val="11"/>
      <color indexed="8"/>
      <name val="Calibri"/>
      <family val="2"/>
    </font>
    <font>
      <b/>
      <sz val="11"/>
      <color rgb="FF27AAE1"/>
      <name val="Calibri"/>
      <family val="2"/>
    </font>
    <font>
      <u/>
      <sz val="11"/>
      <color theme="10"/>
      <name val="Calibri"/>
      <family val="2"/>
    </font>
    <font>
      <sz val="10"/>
      <color theme="1"/>
      <name val="Calibri"/>
      <family val="2"/>
      <scheme val="minor"/>
    </font>
    <font>
      <b/>
      <sz val="10"/>
      <color rgb="FF333333"/>
      <name val="Calibri"/>
      <family val="2"/>
    </font>
    <font>
      <i/>
      <sz val="10"/>
      <color rgb="FF333333"/>
      <name val="Calibri"/>
      <family val="2"/>
      <scheme val="minor"/>
    </font>
    <font>
      <b/>
      <sz val="10"/>
      <color rgb="FF333333"/>
      <name val="Calibri"/>
      <family val="2"/>
      <scheme val="minor"/>
    </font>
    <font>
      <sz val="10"/>
      <color theme="1" tint="0.14999847407452621"/>
      <name val="Calibri"/>
      <family val="2"/>
      <scheme val="minor"/>
    </font>
    <font>
      <sz val="10"/>
      <color rgb="FF333333"/>
      <name val="Calibri"/>
      <family val="2"/>
    </font>
    <font>
      <sz val="10"/>
      <color theme="1" tint="0.14999847407452621"/>
      <name val="Calibri"/>
      <family val="2"/>
    </font>
    <font>
      <u/>
      <sz val="11"/>
      <color rgb="FF27A9E1"/>
      <name val="Calibri"/>
      <family val="2"/>
      <scheme val="minor"/>
    </font>
    <font>
      <b/>
      <sz val="11"/>
      <name val="Calibri"/>
      <family val="2"/>
      <scheme val="minor"/>
    </font>
    <font>
      <i/>
      <sz val="10"/>
      <color theme="0" tint="-0.499984740745262"/>
      <name val="Calibri"/>
      <family val="2"/>
    </font>
    <font>
      <b/>
      <sz val="11"/>
      <color theme="0"/>
      <name val="Calibri"/>
      <family val="1"/>
      <charset val="2"/>
      <scheme val="minor"/>
    </font>
    <font>
      <b/>
      <sz val="11"/>
      <color theme="0"/>
      <name val="Wingdings 3"/>
      <family val="1"/>
      <charset val="2"/>
    </font>
    <font>
      <b/>
      <sz val="10"/>
      <color theme="1"/>
      <name val="Calibri"/>
      <family val="2"/>
      <scheme val="minor"/>
    </font>
    <font>
      <sz val="9"/>
      <color theme="0" tint="-0.499984740745262"/>
      <name val="Calibri"/>
      <family val="2"/>
      <scheme val="minor"/>
    </font>
    <font>
      <b/>
      <sz val="10"/>
      <color rgb="FFC00000"/>
      <name val="Calibri"/>
      <family val="2"/>
      <scheme val="minor"/>
    </font>
    <font>
      <b/>
      <sz val="10"/>
      <color theme="0"/>
      <name val="Wingdings 3"/>
      <family val="1"/>
      <charset val="2"/>
    </font>
    <font>
      <b/>
      <sz val="10"/>
      <color rgb="FF27A9E1"/>
      <name val="Wingdings 3"/>
      <family val="1"/>
      <charset val="2"/>
    </font>
    <font>
      <b/>
      <sz val="11"/>
      <color rgb="FF27A9E1"/>
      <name val="Calibri"/>
      <family val="1"/>
      <charset val="2"/>
      <scheme val="minor"/>
    </font>
    <font>
      <sz val="10"/>
      <color theme="0" tint="-0.499984740745262"/>
      <name val="Calibri"/>
      <family val="2"/>
      <scheme val="minor"/>
    </font>
    <font>
      <b/>
      <sz val="10"/>
      <color theme="0" tint="-0.499984740745262"/>
      <name val="Calibri"/>
      <family val="2"/>
      <scheme val="minor"/>
    </font>
    <font>
      <b/>
      <sz val="11"/>
      <color rgb="FF27A9E1"/>
      <name val="Webdings"/>
      <family val="1"/>
      <charset val="2"/>
    </font>
    <font>
      <sz val="11"/>
      <color rgb="FF27A9E1"/>
      <name val="Calibri"/>
      <family val="2"/>
      <scheme val="minor"/>
    </font>
    <font>
      <b/>
      <sz val="14"/>
      <color rgb="FF333333"/>
      <name val="Calibri"/>
      <family val="2"/>
    </font>
    <font>
      <sz val="11"/>
      <color rgb="FF333333"/>
      <name val="Calibri"/>
      <family val="2"/>
    </font>
    <font>
      <b/>
      <sz val="11"/>
      <color rgb="FFFFFFFF"/>
      <name val="Calibri"/>
    </font>
    <font>
      <sz val="9"/>
      <color rgb="FF333333"/>
      <name val="Calibri"/>
      <family val="2"/>
    </font>
    <font>
      <b/>
      <sz val="9"/>
      <color rgb="FF333333"/>
      <name val="Calibri"/>
      <family val="2"/>
    </font>
    <font>
      <sz val="9"/>
      <name val="Arial"/>
      <family val="2"/>
    </font>
    <font>
      <b/>
      <i/>
      <sz val="10"/>
      <color rgb="FF333333"/>
      <name val="Calibri"/>
      <family val="2"/>
      <scheme val="minor"/>
    </font>
    <font>
      <b/>
      <sz val="11"/>
      <color rgb="FF27A9E1"/>
      <name val="Calibri"/>
      <family val="2"/>
      <scheme val="minor"/>
    </font>
    <font>
      <b/>
      <sz val="11"/>
      <color theme="1" tint="0.14999847407452621"/>
      <name val="Calibri"/>
      <family val="2"/>
      <scheme val="minor"/>
    </font>
    <font>
      <b/>
      <sz val="10"/>
      <color rgb="FFC00000"/>
      <name val="Calibri"/>
      <family val="2"/>
    </font>
    <font>
      <sz val="10"/>
      <color rgb="FF000000"/>
      <name val="Arial"/>
      <family val="2"/>
    </font>
    <font>
      <sz val="10"/>
      <color theme="0"/>
      <name val="Calibri"/>
      <family val="2"/>
      <scheme val="minor"/>
    </font>
    <font>
      <b/>
      <sz val="10"/>
      <color theme="0"/>
      <name val="Calibri"/>
      <family val="2"/>
    </font>
    <font>
      <b/>
      <sz val="10"/>
      <color rgb="FFFFFFFF"/>
      <name val="Calibri"/>
      <family val="2"/>
      <scheme val="minor"/>
    </font>
    <font>
      <sz val="10"/>
      <color rgb="FF333333"/>
      <name val="Calibri"/>
      <family val="2"/>
      <scheme val="minor"/>
    </font>
    <font>
      <b/>
      <sz val="11"/>
      <color rgb="FF333333"/>
      <name val="Calibri"/>
      <family val="2"/>
    </font>
    <font>
      <sz val="9"/>
      <color theme="0" tint="-0.499984740745262"/>
      <name val="Calibri"/>
      <family val="2"/>
    </font>
    <font>
      <b/>
      <sz val="8"/>
      <name val="Arial"/>
      <family val="2"/>
    </font>
    <font>
      <b/>
      <sz val="9"/>
      <name val="Arial"/>
      <family val="2"/>
    </font>
    <font>
      <b/>
      <sz val="10"/>
      <color rgb="FF000000"/>
      <name val="Arial"/>
      <family val="2"/>
    </font>
    <font>
      <b/>
      <i/>
      <sz val="10"/>
      <color rgb="FF000000"/>
      <name val="Arial"/>
      <family val="2"/>
    </font>
    <font>
      <b/>
      <u/>
      <sz val="11"/>
      <color theme="0" tint="-0.499984740745262"/>
      <name val="Calibri"/>
      <family val="2"/>
      <scheme val="minor"/>
    </font>
    <font>
      <sz val="11"/>
      <color theme="0" tint="-0.499984740745262"/>
      <name val="Calibri"/>
      <family val="2"/>
      <scheme val="minor"/>
    </font>
    <font>
      <b/>
      <sz val="11"/>
      <color theme="0" tint="-0.499984740745262"/>
      <name val="Calibri"/>
      <family val="2"/>
      <scheme val="minor"/>
    </font>
    <font>
      <sz val="11"/>
      <color theme="1" tint="0.14999847407452621"/>
      <name val="Calibri"/>
      <family val="2"/>
      <scheme val="minor"/>
    </font>
    <font>
      <sz val="10"/>
      <color rgb="FF444444"/>
      <name val="Calibri"/>
      <family val="2"/>
      <scheme val="minor"/>
    </font>
    <font>
      <i/>
      <sz val="10"/>
      <name val="Arial"/>
      <family val="2"/>
    </font>
    <font>
      <b/>
      <sz val="10"/>
      <name val="Arial"/>
      <family val="2"/>
    </font>
    <font>
      <sz val="10"/>
      <name val="Arial"/>
      <family val="2"/>
    </font>
    <font>
      <b/>
      <sz val="10"/>
      <color theme="0" tint="-0.499984740745262"/>
      <name val="Calibri"/>
      <family val="2"/>
    </font>
    <font>
      <b/>
      <u/>
      <sz val="10"/>
      <color theme="0" tint="-0.499984740745262"/>
      <name val="Calibri"/>
      <family val="2"/>
    </font>
    <font>
      <sz val="10"/>
      <color theme="0" tint="-0.499984740745262"/>
      <name val="Calibri"/>
      <family val="2"/>
    </font>
    <font>
      <b/>
      <sz val="11"/>
      <color rgb="FF27A9E1"/>
      <name val="Calibri"/>
      <family val="1"/>
      <charset val="2"/>
    </font>
    <font>
      <b/>
      <sz val="11"/>
      <color rgb="FF27A9E1"/>
      <name val="Calibri"/>
      <family val="2"/>
    </font>
    <font>
      <sz val="11"/>
      <color theme="1" tint="0.14999847407452621"/>
      <name val="Calibri"/>
      <family val="2"/>
    </font>
  </fonts>
  <fills count="4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D9D9"/>
        <bgColor indexed="64"/>
      </patternFill>
    </fill>
    <fill>
      <patternFill patternType="solid">
        <fgColor rgb="FFF2F2F2"/>
        <bgColor indexed="64"/>
      </patternFill>
    </fill>
    <fill>
      <patternFill patternType="solid">
        <fgColor theme="0" tint="-4.9989318521683403E-2"/>
        <bgColor indexed="64"/>
      </patternFill>
    </fill>
    <fill>
      <patternFill patternType="solid">
        <fgColor theme="0" tint="-0.14996795556505021"/>
        <bgColor indexed="64"/>
      </patternFill>
    </fill>
    <fill>
      <patternFill patternType="solid">
        <fgColor rgb="FF27A9E1"/>
        <bgColor indexed="64"/>
      </patternFill>
    </fill>
    <fill>
      <patternFill patternType="solid">
        <fgColor theme="1" tint="0.14999847407452621"/>
        <bgColor indexed="64"/>
      </patternFill>
    </fill>
    <fill>
      <patternFill patternType="solid">
        <fgColor theme="0"/>
        <bgColor indexed="64"/>
      </patternFill>
    </fill>
    <fill>
      <patternFill patternType="solid">
        <fgColor theme="4" tint="0.79998168889431442"/>
        <bgColor indexed="64"/>
      </patternFill>
    </fill>
    <fill>
      <patternFill patternType="solid">
        <fgColor rgb="FF55ABDE"/>
        <bgColor indexed="64"/>
      </patternFill>
    </fill>
    <fill>
      <patternFill patternType="solid">
        <fgColor theme="0" tint="-0.249977111117893"/>
        <bgColor rgb="FF000000"/>
      </patternFill>
    </fill>
    <fill>
      <patternFill patternType="solid">
        <fgColor rgb="FFF2F2F2"/>
        <bgColor rgb="FF000000"/>
      </patternFill>
    </fill>
    <fill>
      <patternFill patternType="solid">
        <fgColor theme="7"/>
        <bgColor indexed="64"/>
      </patternFill>
    </fill>
    <fill>
      <patternFill patternType="solid">
        <fgColor rgb="FFBFBFBF"/>
        <bgColor indexed="64"/>
      </patternFill>
    </fill>
    <fill>
      <patternFill patternType="solid">
        <fgColor theme="0" tint="-0.249977111117893"/>
        <bgColor indexed="64"/>
      </patternFill>
    </fill>
  </fills>
  <borders count="6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rgb="FFD9D9D9"/>
      </top>
      <bottom/>
      <diagonal/>
    </border>
    <border>
      <left/>
      <right style="thin">
        <color rgb="FFD9D9D9"/>
      </right>
      <top style="thin">
        <color rgb="FFD9D9D9"/>
      </top>
      <bottom/>
      <diagonal/>
    </border>
    <border>
      <left/>
      <right style="thin">
        <color rgb="FFD9D9D9"/>
      </right>
      <top/>
      <bottom/>
      <diagonal/>
    </border>
    <border>
      <left style="thin">
        <color rgb="FFD9D9D9"/>
      </left>
      <right/>
      <top style="thin">
        <color rgb="FFD9D9D9"/>
      </top>
      <bottom/>
      <diagonal/>
    </border>
    <border>
      <left style="thin">
        <color rgb="FFD9D9D9"/>
      </left>
      <right/>
      <top/>
      <bottom/>
      <diagonal/>
    </border>
    <border>
      <left style="thin">
        <color rgb="FFD9D9D9"/>
      </left>
      <right/>
      <top/>
      <bottom style="thin">
        <color rgb="FFD9D9D9"/>
      </bottom>
      <diagonal/>
    </border>
    <border>
      <left/>
      <right/>
      <top/>
      <bottom style="thin">
        <color rgb="FFD9D9D9"/>
      </bottom>
      <diagonal/>
    </border>
    <border>
      <left/>
      <right style="thin">
        <color rgb="FFD9D9D9"/>
      </right>
      <top/>
      <bottom style="thin">
        <color rgb="FFD9D9D9"/>
      </bottom>
      <diagonal/>
    </border>
    <border>
      <left/>
      <right style="thin">
        <color theme="0" tint="-0.14996795556505021"/>
      </right>
      <top/>
      <bottom style="thin">
        <color theme="0" tint="-0.14996795556505021"/>
      </bottom>
      <diagonal/>
    </border>
    <border>
      <left/>
      <right/>
      <top/>
      <bottom style="thin">
        <color theme="0" tint="-0.14996795556505021"/>
      </bottom>
      <diagonal/>
    </border>
    <border>
      <left style="thin">
        <color theme="0" tint="-0.14996795556505021"/>
      </left>
      <right/>
      <top/>
      <bottom style="thin">
        <color theme="0" tint="-0.14996795556505021"/>
      </bottom>
      <diagonal/>
    </border>
    <border>
      <left/>
      <right style="thin">
        <color theme="0" tint="-0.14996795556505021"/>
      </right>
      <top style="thin">
        <color theme="0" tint="-0.14996795556505021"/>
      </top>
      <bottom style="thin">
        <color theme="0" tint="-0.14996795556505021"/>
      </bottom>
      <diagonal/>
    </border>
    <border>
      <left/>
      <right/>
      <top style="thin">
        <color theme="0"/>
      </top>
      <bottom style="thin">
        <color theme="0"/>
      </bottom>
      <diagonal/>
    </border>
    <border>
      <left style="thin">
        <color theme="0" tint="-0.14996795556505021"/>
      </left>
      <right/>
      <top style="thin">
        <color theme="0" tint="-0.14996795556505021"/>
      </top>
      <bottom style="thin">
        <color theme="0" tint="-0.14996795556505021"/>
      </bottom>
      <diagonal/>
    </border>
    <border>
      <left/>
      <right style="thin">
        <color theme="0" tint="-0.14996795556505021"/>
      </right>
      <top/>
      <bottom/>
      <diagonal/>
    </border>
    <border>
      <left style="thin">
        <color theme="0"/>
      </left>
      <right style="thin">
        <color theme="0"/>
      </right>
      <top style="thin">
        <color theme="0"/>
      </top>
      <bottom style="thin">
        <color theme="0"/>
      </bottom>
      <diagonal/>
    </border>
    <border>
      <left style="thin">
        <color theme="0" tint="-0.14996795556505021"/>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right style="thin">
        <color theme="0" tint="-0.14996795556505021"/>
      </right>
      <top style="thin">
        <color theme="0" tint="-0.14996795556505021"/>
      </top>
      <bottom/>
      <diagonal/>
    </border>
    <border>
      <left/>
      <right/>
      <top style="thin">
        <color theme="0" tint="-0.14996795556505021"/>
      </top>
      <bottom/>
      <diagonal/>
    </border>
    <border>
      <left/>
      <right/>
      <top style="thin">
        <color theme="0" tint="-0.14999847407452621"/>
      </top>
      <bottom/>
      <diagonal/>
    </border>
    <border>
      <left/>
      <right style="thin">
        <color theme="0" tint="-0.14999847407452621"/>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
      <left style="thin">
        <color theme="0"/>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6795556505021"/>
      </right>
      <top/>
      <bottom style="thin">
        <color theme="0" tint="-0.14993743705557422"/>
      </bottom>
      <diagonal/>
    </border>
    <border>
      <left/>
      <right/>
      <top/>
      <bottom style="thin">
        <color theme="0" tint="-0.14993743705557422"/>
      </bottom>
      <diagonal/>
    </border>
    <border>
      <left style="thin">
        <color theme="0" tint="-0.14996795556505021"/>
      </left>
      <right/>
      <top/>
      <bottom style="thin">
        <color theme="0" tint="-0.14993743705557422"/>
      </bottom>
      <diagonal/>
    </border>
    <border>
      <left style="thin">
        <color rgb="FF27A9E1"/>
      </left>
      <right style="thin">
        <color rgb="FF27A9E1"/>
      </right>
      <top style="thin">
        <color rgb="FF27A9E1"/>
      </top>
      <bottom style="thin">
        <color rgb="FF27A9E1"/>
      </bottom>
      <diagonal/>
    </border>
    <border>
      <left/>
      <right style="thin">
        <color theme="0" tint="-0.14993743705557422"/>
      </right>
      <top style="thin">
        <color theme="0" tint="-0.14993743705557422"/>
      </top>
      <bottom style="thin">
        <color theme="0" tint="-0.14993743705557422"/>
      </bottom>
      <diagonal/>
    </border>
    <border>
      <left style="thin">
        <color theme="0" tint="-0.14993743705557422"/>
      </left>
      <right/>
      <top style="thin">
        <color theme="0" tint="-0.14993743705557422"/>
      </top>
      <bottom style="thin">
        <color theme="0" tint="-0.14993743705557422"/>
      </bottom>
      <diagonal/>
    </border>
    <border>
      <left/>
      <right style="thin">
        <color theme="0"/>
      </right>
      <top/>
      <bottom/>
      <diagonal/>
    </border>
    <border>
      <left style="thin">
        <color theme="0" tint="-0.14993743705557422"/>
      </left>
      <right/>
      <top/>
      <bottom style="thin">
        <color theme="0" tint="-0.14993743705557422"/>
      </bottom>
      <diagonal/>
    </border>
    <border>
      <left style="thin">
        <color theme="0" tint="-0.14993743705557422"/>
      </left>
      <right/>
      <top/>
      <bottom/>
      <diagonal/>
    </border>
    <border>
      <left/>
      <right/>
      <top style="thin">
        <color theme="0" tint="-0.14996795556505021"/>
      </top>
      <bottom style="thin">
        <color theme="0" tint="-0.14996795556505021"/>
      </bottom>
      <diagonal/>
    </border>
    <border>
      <left/>
      <right style="thin">
        <color theme="0" tint="-0.14996795556505021"/>
      </right>
      <top style="thin">
        <color theme="0" tint="-0.14993743705557422"/>
      </top>
      <bottom/>
      <diagonal/>
    </border>
    <border>
      <left/>
      <right/>
      <top style="thin">
        <color theme="0" tint="-0.14993743705557422"/>
      </top>
      <bottom/>
      <diagonal/>
    </border>
    <border>
      <left style="thin">
        <color theme="0" tint="-0.14993743705557422"/>
      </left>
      <right/>
      <top style="thin">
        <color theme="0" tint="-0.14993743705557422"/>
      </top>
      <bottom/>
      <diagonal/>
    </border>
    <border>
      <left/>
      <right/>
      <top style="thin">
        <color theme="0" tint="-0.14993743705557422"/>
      </top>
      <bottom style="thin">
        <color theme="0" tint="-0.14993743705557422"/>
      </bottom>
      <diagonal/>
    </border>
    <border>
      <left style="thin">
        <color theme="0" tint="-0.14996795556505021"/>
      </left>
      <right style="thin">
        <color theme="0" tint="-0.14996795556505021"/>
      </right>
      <top style="thin">
        <color theme="0" tint="-0.14996795556505021"/>
      </top>
      <bottom/>
      <diagonal/>
    </border>
    <border>
      <left/>
      <right style="thin">
        <color theme="0" tint="-0.14996795556505021"/>
      </right>
      <top/>
      <bottom style="thin">
        <color theme="0" tint="-0.14990691854609822"/>
      </bottom>
      <diagonal/>
    </border>
    <border>
      <left/>
      <right/>
      <top/>
      <bottom style="thin">
        <color theme="0" tint="-0.14990691854609822"/>
      </bottom>
      <diagonal/>
    </border>
    <border>
      <left style="thin">
        <color theme="0" tint="-0.14993743705557422"/>
      </left>
      <right/>
      <top/>
      <bottom style="thin">
        <color theme="0" tint="-0.14990691854609822"/>
      </bottom>
      <diagonal/>
    </border>
    <border>
      <left style="thin">
        <color theme="0" tint="-0.14996795556505021"/>
      </left>
      <right style="thin">
        <color theme="0" tint="-0.14996795556505021"/>
      </right>
      <top/>
      <bottom style="thin">
        <color theme="0" tint="-0.14996795556505021"/>
      </bottom>
      <diagonal/>
    </border>
    <border>
      <left style="thin">
        <color theme="0" tint="-0.14993743705557422"/>
      </left>
      <right style="thin">
        <color theme="0" tint="-0.14993743705557422"/>
      </right>
      <top style="thin">
        <color theme="0" tint="-0.14993743705557422"/>
      </top>
      <bottom style="thin">
        <color theme="0" tint="-0.14993743705557422"/>
      </bottom>
      <diagonal/>
    </border>
    <border>
      <left style="thin">
        <color theme="0"/>
      </left>
      <right style="thin">
        <color theme="0" tint="-0.14996795556505021"/>
      </right>
      <top style="thin">
        <color theme="0" tint="-0.14996795556505021"/>
      </top>
      <bottom style="thin">
        <color theme="0" tint="-0.14996795556505021"/>
      </bottom>
      <diagonal/>
    </border>
    <border>
      <left style="thin">
        <color theme="0"/>
      </left>
      <right style="thin">
        <color theme="0"/>
      </right>
      <top style="thin">
        <color theme="0" tint="-0.14996795556505021"/>
      </top>
      <bottom style="thin">
        <color theme="0" tint="-0.14996795556505021"/>
      </bottom>
      <diagonal/>
    </border>
    <border>
      <left style="thin">
        <color theme="0" tint="-0.14996795556505021"/>
      </left>
      <right style="thin">
        <color theme="0"/>
      </right>
      <top style="thin">
        <color theme="0" tint="-0.14996795556505021"/>
      </top>
      <bottom style="thin">
        <color theme="0" tint="-0.14996795556505021"/>
      </bottom>
      <diagonal/>
    </border>
    <border>
      <left/>
      <right style="thin">
        <color theme="0" tint="-0.14996795556505021"/>
      </right>
      <top style="thin">
        <color theme="0" tint="-0.14990691854609822"/>
      </top>
      <bottom/>
      <diagonal/>
    </border>
    <border>
      <left/>
      <right/>
      <top style="thin">
        <color theme="0" tint="-0.14990691854609822"/>
      </top>
      <bottom/>
      <diagonal/>
    </border>
    <border>
      <left style="thin">
        <color theme="0" tint="-0.14993743705557422"/>
      </left>
      <right/>
      <top style="thin">
        <color theme="0" tint="-0.14990691854609822"/>
      </top>
      <bottom/>
      <diagonal/>
    </border>
    <border>
      <left/>
      <right style="thin">
        <color theme="0" tint="-0.14990691854609822"/>
      </right>
      <top style="thin">
        <color theme="0" tint="-0.14990691854609822"/>
      </top>
      <bottom/>
      <diagonal/>
    </border>
    <border>
      <left style="thin">
        <color theme="0" tint="-0.14990691854609822"/>
      </left>
      <right/>
      <top style="thin">
        <color theme="0" tint="-0.14990691854609822"/>
      </top>
      <bottom/>
      <diagonal/>
    </border>
    <border>
      <left style="thin">
        <color theme="0"/>
      </left>
      <right style="thin">
        <color theme="0"/>
      </right>
      <top style="thin">
        <color theme="0"/>
      </top>
      <bottom/>
      <diagonal/>
    </border>
    <border>
      <left style="thin">
        <color theme="0" tint="-0.14996795556505021"/>
      </left>
      <right/>
      <top style="thin">
        <color theme="0" tint="-0.14996795556505021"/>
      </top>
      <bottom/>
      <diagonal/>
    </border>
  </borders>
  <cellStyleXfs count="84">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6" fillId="0" borderId="0" applyNumberFormat="0" applyFill="0" applyBorder="0" applyAlignment="0" applyProtection="0"/>
    <xf numFmtId="0" fontId="1" fillId="0" borderId="0"/>
    <xf numFmtId="49" fontId="28" fillId="0" borderId="0">
      <alignment horizontal="left" vertical="center" wrapText="1"/>
    </xf>
    <xf numFmtId="49" fontId="29" fillId="0" borderId="0">
      <alignment vertical="center" wrapText="1"/>
    </xf>
    <xf numFmtId="49" fontId="32" fillId="35" borderId="22">
      <alignment vertical="center"/>
      <protection locked="0"/>
    </xf>
    <xf numFmtId="165" fontId="32" fillId="36" borderId="25">
      <alignment vertical="center"/>
    </xf>
    <xf numFmtId="49" fontId="29" fillId="36" borderId="27">
      <alignment horizontal="center" vertical="center" wrapText="1"/>
    </xf>
    <xf numFmtId="0" fontId="34" fillId="0" borderId="0" applyNumberFormat="0" applyFill="0" applyBorder="0" applyAlignment="0" applyProtection="0"/>
    <xf numFmtId="49" fontId="29" fillId="0" borderId="0">
      <alignment vertical="center" wrapText="1"/>
    </xf>
    <xf numFmtId="0" fontId="14" fillId="37" borderId="25" applyProtection="0">
      <alignment horizontal="center" vertical="center" wrapText="1"/>
    </xf>
    <xf numFmtId="167" fontId="1" fillId="0" borderId="0" applyFont="0" applyFill="0" applyBorder="0" applyAlignment="0" applyProtection="0"/>
    <xf numFmtId="166" fontId="32" fillId="36" borderId="25">
      <alignment vertical="center"/>
    </xf>
    <xf numFmtId="0" fontId="42" fillId="37" borderId="25" applyProtection="0">
      <alignment horizontal="center" vertical="center" wrapText="1"/>
    </xf>
    <xf numFmtId="0" fontId="28" fillId="0" borderId="0">
      <alignment horizontal="center" vertical="center" wrapText="1"/>
    </xf>
    <xf numFmtId="0" fontId="44" fillId="0" borderId="0">
      <alignment vertical="center"/>
    </xf>
    <xf numFmtId="0" fontId="49" fillId="0" borderId="0">
      <alignment vertical="center" wrapText="1"/>
      <protection locked="0"/>
    </xf>
    <xf numFmtId="164" fontId="50" fillId="35" borderId="25">
      <alignment horizontal="left" vertical="center" wrapText="1"/>
    </xf>
    <xf numFmtId="0" fontId="1" fillId="0" borderId="0"/>
    <xf numFmtId="0" fontId="32" fillId="36" borderId="25">
      <alignment horizontal="center" vertical="center" wrapText="1"/>
    </xf>
    <xf numFmtId="10" fontId="52" fillId="36" borderId="25">
      <alignment horizontal="center" vertical="center" wrapText="1"/>
    </xf>
    <xf numFmtId="1" fontId="32" fillId="36" borderId="25">
      <alignment horizontal="center" vertical="center" wrapText="1"/>
    </xf>
    <xf numFmtId="14" fontId="32" fillId="36" borderId="25">
      <alignment horizontal="center" vertical="center" wrapText="1"/>
    </xf>
    <xf numFmtId="0" fontId="32" fillId="36" borderId="25">
      <alignment horizontal="left" vertical="center" wrapText="1"/>
    </xf>
    <xf numFmtId="49" fontId="55" fillId="0" borderId="0">
      <alignment vertical="center" wrapText="1"/>
    </xf>
    <xf numFmtId="14" fontId="32" fillId="0" borderId="0">
      <alignment horizontal="center" vertical="center" wrapText="1"/>
    </xf>
    <xf numFmtId="166" fontId="32" fillId="35" borderId="25">
      <alignment vertical="center"/>
      <protection locked="0"/>
    </xf>
    <xf numFmtId="14" fontId="32" fillId="35" borderId="25">
      <alignment horizontal="center" vertical="center"/>
      <protection locked="0"/>
    </xf>
    <xf numFmtId="49" fontId="28" fillId="0" borderId="0">
      <alignment horizontal="center" vertical="center" wrapText="1"/>
    </xf>
    <xf numFmtId="0" fontId="28" fillId="0" borderId="0">
      <alignment horizontal="left" vertical="center" wrapText="1"/>
    </xf>
    <xf numFmtId="167" fontId="1" fillId="0" borderId="0" applyFont="0" applyFill="0" applyBorder="0" applyAlignment="0" applyProtection="0">
      <protection locked="0"/>
    </xf>
    <xf numFmtId="0" fontId="28" fillId="0" borderId="0">
      <alignment horizontal="left" vertical="center" wrapText="1"/>
    </xf>
    <xf numFmtId="0" fontId="32" fillId="35" borderId="25">
      <alignment horizontal="center" vertical="center" wrapText="1"/>
      <protection locked="0"/>
    </xf>
    <xf numFmtId="0" fontId="32" fillId="35" borderId="25">
      <alignment vertical="center" wrapText="1"/>
      <protection locked="0"/>
    </xf>
    <xf numFmtId="0" fontId="64" fillId="36" borderId="23">
      <alignment vertical="center" wrapText="1"/>
    </xf>
    <xf numFmtId="10" fontId="28" fillId="0" borderId="25">
      <alignment horizontal="center" vertical="center"/>
    </xf>
    <xf numFmtId="0" fontId="32" fillId="0" borderId="0">
      <alignment horizontal="center" vertical="center" wrapText="1"/>
    </xf>
    <xf numFmtId="0" fontId="14" fillId="44" borderId="34">
      <alignment horizontal="center" vertical="center"/>
    </xf>
    <xf numFmtId="0" fontId="14" fillId="45" borderId="34">
      <alignment horizontal="center" vertical="center"/>
    </xf>
    <xf numFmtId="0" fontId="28" fillId="35" borderId="25">
      <alignment horizontal="center" vertical="center" wrapText="1"/>
      <protection locked="0"/>
    </xf>
    <xf numFmtId="0" fontId="1" fillId="0" borderId="0"/>
    <xf numFmtId="0" fontId="50" fillId="35" borderId="25">
      <alignment horizontal="left" vertical="center" wrapText="1"/>
    </xf>
    <xf numFmtId="0" fontId="32" fillId="0" borderId="0">
      <alignment horizontal="left" vertical="center" wrapText="1"/>
    </xf>
  </cellStyleXfs>
  <cellXfs count="276">
    <xf numFmtId="0" fontId="0" fillId="0" borderId="0" xfId="0"/>
    <xf numFmtId="49" fontId="19" fillId="0" borderId="0" xfId="0" applyNumberFormat="1" applyFont="1" applyAlignment="1">
      <alignment horizontal="left"/>
    </xf>
    <xf numFmtId="0" fontId="23" fillId="0" borderId="0" xfId="0" applyFont="1" applyAlignment="1">
      <alignment horizontal="center" vertical="center"/>
    </xf>
    <xf numFmtId="0" fontId="24" fillId="33" borderId="0" xfId="0" applyFont="1" applyFill="1" applyAlignment="1">
      <alignment horizontal="center"/>
    </xf>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25" fillId="0" borderId="14" xfId="0" applyFont="1" applyBorder="1" applyAlignment="1">
      <alignment horizontal="center"/>
    </xf>
    <xf numFmtId="0" fontId="25" fillId="0" borderId="0" xfId="0" applyFont="1" applyAlignment="1">
      <alignment horizontal="center"/>
    </xf>
    <xf numFmtId="0" fontId="25" fillId="0" borderId="12" xfId="0" applyFont="1" applyBorder="1" applyAlignment="1">
      <alignment horizontal="center"/>
    </xf>
    <xf numFmtId="0" fontId="24" fillId="34" borderId="0" xfId="0" applyFont="1" applyFill="1"/>
    <xf numFmtId="14" fontId="24" fillId="34" borderId="0" xfId="0" applyNumberFormat="1" applyFont="1" applyFill="1"/>
    <xf numFmtId="0" fontId="24" fillId="0" borderId="0" xfId="0" applyFont="1"/>
    <xf numFmtId="0" fontId="1" fillId="0" borderId="0" xfId="43"/>
    <xf numFmtId="0" fontId="27" fillId="0" borderId="0" xfId="43" applyFont="1"/>
    <xf numFmtId="49" fontId="28" fillId="0" borderId="0" xfId="44">
      <alignment horizontal="left" vertical="center" wrapText="1"/>
    </xf>
    <xf numFmtId="0" fontId="1" fillId="0" borderId="18" xfId="43" applyBorder="1"/>
    <xf numFmtId="49" fontId="28" fillId="0" borderId="19" xfId="44" applyBorder="1">
      <alignment horizontal="left" vertical="center" wrapText="1"/>
    </xf>
    <xf numFmtId="49" fontId="30" fillId="0" borderId="19" xfId="45" applyFont="1" applyBorder="1" applyAlignment="1" applyProtection="1">
      <alignment horizontal="center" vertical="center" wrapText="1"/>
      <protection locked="0"/>
    </xf>
    <xf numFmtId="0" fontId="1" fillId="0" borderId="20" xfId="43" applyBorder="1" applyAlignment="1">
      <alignment vertical="center"/>
    </xf>
    <xf numFmtId="0" fontId="31" fillId="0" borderId="21" xfId="43" applyFont="1" applyBorder="1" applyAlignment="1" applyProtection="1">
      <alignment horizontal="left"/>
      <protection locked="0"/>
    </xf>
    <xf numFmtId="0" fontId="33" fillId="0" borderId="23" xfId="46" applyNumberFormat="1" applyFont="1" applyFill="1" applyBorder="1" applyAlignment="1">
      <alignment horizontal="left" vertical="center"/>
      <protection locked="0"/>
    </xf>
    <xf numFmtId="0" fontId="1" fillId="0" borderId="24" xfId="43" applyBorder="1"/>
    <xf numFmtId="0" fontId="1" fillId="0" borderId="0" xfId="43" applyAlignment="1">
      <alignment vertical="center"/>
    </xf>
    <xf numFmtId="166" fontId="28" fillId="0" borderId="0" xfId="47" applyNumberFormat="1" applyFont="1" applyFill="1" applyBorder="1">
      <alignment vertical="center"/>
    </xf>
    <xf numFmtId="49" fontId="30" fillId="0" borderId="0" xfId="45" applyFont="1" applyAlignment="1" applyProtection="1">
      <alignment horizontal="center" vertical="center" wrapText="1"/>
      <protection locked="0"/>
    </xf>
    <xf numFmtId="0" fontId="1" fillId="0" borderId="26" xfId="43" applyBorder="1" applyAlignment="1">
      <alignment vertical="center"/>
    </xf>
    <xf numFmtId="49" fontId="32" fillId="0" borderId="0" xfId="44" applyFont="1">
      <alignment horizontal="left" vertical="center" wrapText="1"/>
    </xf>
    <xf numFmtId="166" fontId="32" fillId="35" borderId="27" xfId="47" applyNumberFormat="1" applyFill="1" applyBorder="1">
      <alignment vertical="center"/>
    </xf>
    <xf numFmtId="0" fontId="1" fillId="0" borderId="28" xfId="43" applyBorder="1"/>
    <xf numFmtId="49" fontId="30" fillId="0" borderId="29" xfId="45" applyFont="1" applyBorder="1" applyAlignment="1" applyProtection="1">
      <alignment horizontal="center" vertical="center" wrapText="1"/>
      <protection locked="0"/>
    </xf>
    <xf numFmtId="49" fontId="30" fillId="0" borderId="30" xfId="45" applyFont="1" applyBorder="1" applyAlignment="1" applyProtection="1">
      <alignment horizontal="center" vertical="center" wrapText="1"/>
      <protection locked="0"/>
    </xf>
    <xf numFmtId="49" fontId="30" fillId="0" borderId="0" xfId="48" applyFont="1" applyFill="1" applyBorder="1" applyAlignment="1">
      <alignment horizontal="left" vertical="center" wrapText="1"/>
    </xf>
    <xf numFmtId="49" fontId="30" fillId="0" borderId="26" xfId="48" applyFont="1" applyFill="1" applyBorder="1" applyAlignment="1">
      <alignment horizontal="left" vertical="center" wrapText="1"/>
    </xf>
    <xf numFmtId="49" fontId="30" fillId="0" borderId="0" xfId="50" applyFont="1" applyAlignment="1" applyProtection="1">
      <alignment horizontal="center" vertical="center" wrapText="1"/>
      <protection locked="0"/>
    </xf>
    <xf numFmtId="0" fontId="36" fillId="0" borderId="0" xfId="43" applyFont="1" applyAlignment="1">
      <alignment horizontal="left" vertical="center"/>
    </xf>
    <xf numFmtId="49" fontId="30" fillId="0" borderId="19" xfId="50" applyFont="1" applyBorder="1" applyAlignment="1" applyProtection="1">
      <alignment horizontal="center" vertical="center" wrapText="1"/>
      <protection locked="0"/>
    </xf>
    <xf numFmtId="166" fontId="28" fillId="35" borderId="27" xfId="47" applyNumberFormat="1" applyFont="1" applyFill="1" applyBorder="1">
      <alignment vertical="center"/>
    </xf>
    <xf numFmtId="0" fontId="32" fillId="0" borderId="0" xfId="44" applyNumberFormat="1" applyFont="1">
      <alignment horizontal="left" vertical="center" wrapText="1"/>
    </xf>
    <xf numFmtId="1" fontId="32" fillId="0" borderId="35" xfId="52" applyNumberFormat="1" applyFont="1" applyFill="1" applyBorder="1" applyAlignment="1" applyProtection="1">
      <alignment horizontal="center" vertical="center"/>
      <protection locked="0"/>
    </xf>
    <xf numFmtId="0" fontId="39" fillId="0" borderId="0" xfId="43" applyFont="1" applyAlignment="1">
      <alignment horizontal="right" vertical="center" indent="1"/>
    </xf>
    <xf numFmtId="49" fontId="30" fillId="0" borderId="29" xfId="50" applyFont="1" applyBorder="1" applyAlignment="1" applyProtection="1">
      <alignment horizontal="center" vertical="center" wrapText="1"/>
      <protection locked="0"/>
    </xf>
    <xf numFmtId="49" fontId="30" fillId="0" borderId="30" xfId="50" applyFont="1" applyBorder="1" applyAlignment="1" applyProtection="1">
      <alignment horizontal="center" vertical="center" wrapText="1"/>
      <protection locked="0"/>
    </xf>
    <xf numFmtId="0" fontId="32" fillId="0" borderId="0" xfId="43" applyFont="1" applyAlignment="1">
      <alignment horizontal="left" indent="1"/>
    </xf>
    <xf numFmtId="0" fontId="1" fillId="0" borderId="36" xfId="43" applyBorder="1"/>
    <xf numFmtId="49" fontId="30" fillId="0" borderId="37" xfId="45" applyFont="1" applyBorder="1" applyAlignment="1" applyProtection="1">
      <alignment horizontal="center" vertical="center" wrapText="1"/>
      <protection locked="0"/>
    </xf>
    <xf numFmtId="0" fontId="1" fillId="0" borderId="37" xfId="43" applyBorder="1"/>
    <xf numFmtId="0" fontId="1" fillId="0" borderId="38" xfId="43" applyBorder="1" applyAlignment="1">
      <alignment vertical="center"/>
    </xf>
    <xf numFmtId="166" fontId="32" fillId="35" borderId="27" xfId="53" applyFill="1" applyBorder="1">
      <alignment vertical="center"/>
    </xf>
    <xf numFmtId="0" fontId="42" fillId="39" borderId="0" xfId="54" applyFill="1" applyBorder="1" applyProtection="1">
      <alignment horizontal="center" vertical="center" wrapText="1"/>
      <protection locked="0"/>
    </xf>
    <xf numFmtId="0" fontId="43" fillId="40" borderId="39" xfId="54" applyFont="1" applyFill="1" applyBorder="1" applyProtection="1">
      <alignment horizontal="center" vertical="center" wrapText="1"/>
      <protection locked="0"/>
    </xf>
    <xf numFmtId="0" fontId="36" fillId="0" borderId="0" xfId="43" applyFont="1" applyAlignment="1">
      <alignment horizontal="left" vertical="center" indent="1"/>
    </xf>
    <xf numFmtId="0" fontId="28" fillId="0" borderId="0" xfId="55">
      <alignment horizontal="center" vertical="center" wrapText="1"/>
    </xf>
    <xf numFmtId="0" fontId="1" fillId="0" borderId="26" xfId="43" applyBorder="1"/>
    <xf numFmtId="0" fontId="28" fillId="0" borderId="31" xfId="55" applyBorder="1">
      <alignment horizontal="center" vertical="center" wrapText="1"/>
    </xf>
    <xf numFmtId="0" fontId="28" fillId="0" borderId="32" xfId="55" applyBorder="1">
      <alignment horizontal="center" vertical="center" wrapText="1"/>
    </xf>
    <xf numFmtId="0" fontId="28" fillId="0" borderId="33" xfId="55" applyBorder="1">
      <alignment horizontal="center" vertical="center" wrapText="1"/>
    </xf>
    <xf numFmtId="0" fontId="32" fillId="0" borderId="0" xfId="43" applyFont="1"/>
    <xf numFmtId="0" fontId="32" fillId="0" borderId="24" xfId="43" applyFont="1" applyBorder="1"/>
    <xf numFmtId="0" fontId="28" fillId="0" borderId="26" xfId="55" applyBorder="1">
      <alignment horizontal="center" vertical="center" wrapText="1"/>
    </xf>
    <xf numFmtId="0" fontId="32" fillId="0" borderId="28" xfId="43" applyFont="1" applyBorder="1"/>
    <xf numFmtId="0" fontId="28" fillId="0" borderId="29" xfId="55" applyBorder="1">
      <alignment horizontal="center" vertical="center" wrapText="1"/>
    </xf>
    <xf numFmtId="0" fontId="28" fillId="0" borderId="30" xfId="55" applyBorder="1">
      <alignment horizontal="center" vertical="center" wrapText="1"/>
    </xf>
    <xf numFmtId="0" fontId="35" fillId="0" borderId="42" xfId="49" applyFont="1" applyFill="1" applyBorder="1" applyAlignment="1">
      <alignment horizontal="left" vertical="center" wrapText="1"/>
    </xf>
    <xf numFmtId="0" fontId="35" fillId="0" borderId="0" xfId="43" applyFont="1" applyAlignment="1">
      <alignment horizontal="center" vertical="center" wrapText="1"/>
    </xf>
    <xf numFmtId="0" fontId="1" fillId="0" borderId="19" xfId="43" applyBorder="1"/>
    <xf numFmtId="0" fontId="49" fillId="0" borderId="19" xfId="57" applyBorder="1">
      <alignment vertical="center" wrapText="1"/>
      <protection locked="0"/>
    </xf>
    <xf numFmtId="164" fontId="50" fillId="0" borderId="25" xfId="58" applyFill="1" applyAlignment="1">
      <alignment horizontal="left" vertical="top" wrapText="1"/>
    </xf>
    <xf numFmtId="0" fontId="50" fillId="0" borderId="0" xfId="57" applyFont="1" applyAlignment="1" applyProtection="1"/>
    <xf numFmtId="0" fontId="39" fillId="35" borderId="31" xfId="43" applyFont="1" applyFill="1" applyBorder="1" applyAlignment="1">
      <alignment vertical="center"/>
    </xf>
    <xf numFmtId="0" fontId="39" fillId="35" borderId="33" xfId="43" applyFont="1" applyFill="1" applyBorder="1" applyAlignment="1">
      <alignment horizontal="right" vertical="center"/>
    </xf>
    <xf numFmtId="0" fontId="49" fillId="0" borderId="0" xfId="57" applyAlignment="1">
      <alignment vertical="center"/>
      <protection locked="0"/>
    </xf>
    <xf numFmtId="0" fontId="1" fillId="0" borderId="0" xfId="59"/>
    <xf numFmtId="0" fontId="17" fillId="0" borderId="0" xfId="43" applyFont="1"/>
    <xf numFmtId="0" fontId="35" fillId="0" borderId="0" xfId="43" applyFont="1" applyAlignment="1">
      <alignment horizontal="right"/>
    </xf>
    <xf numFmtId="0" fontId="17" fillId="0" borderId="0" xfId="43" applyFont="1" applyAlignment="1">
      <alignment horizontal="right"/>
    </xf>
    <xf numFmtId="0" fontId="51" fillId="38" borderId="0" xfId="42" applyFont="1" applyFill="1" applyAlignment="1">
      <alignment horizontal="center" vertical="center" wrapText="1"/>
    </xf>
    <xf numFmtId="0" fontId="25" fillId="0" borderId="15" xfId="0" applyFont="1" applyBorder="1" applyAlignment="1">
      <alignment horizontal="center"/>
    </xf>
    <xf numFmtId="0" fontId="25" fillId="0" borderId="16" xfId="0" applyFont="1" applyBorder="1" applyAlignment="1">
      <alignment horizontal="center"/>
    </xf>
    <xf numFmtId="0" fontId="25" fillId="0" borderId="17" xfId="0" applyFont="1" applyBorder="1" applyAlignment="1">
      <alignment horizontal="center"/>
    </xf>
    <xf numFmtId="0" fontId="0" fillId="34" borderId="0" xfId="0" applyFill="1"/>
    <xf numFmtId="0" fontId="26" fillId="34" borderId="0" xfId="42" applyFill="1" applyBorder="1"/>
    <xf numFmtId="0" fontId="0" fillId="41" borderId="0" xfId="0" applyFill="1"/>
    <xf numFmtId="10" fontId="1" fillId="0" borderId="0" xfId="59" applyNumberFormat="1"/>
    <xf numFmtId="0" fontId="32" fillId="36" borderId="25" xfId="60">
      <alignment horizontal="center" vertical="center" wrapText="1"/>
    </xf>
    <xf numFmtId="10" fontId="52" fillId="36" borderId="25" xfId="61">
      <alignment horizontal="center" vertical="center" wrapText="1"/>
    </xf>
    <xf numFmtId="0" fontId="53" fillId="0" borderId="0" xfId="59" applyFont="1" applyAlignment="1">
      <alignment horizontal="center"/>
    </xf>
    <xf numFmtId="14" fontId="1" fillId="0" borderId="0" xfId="59" applyNumberFormat="1"/>
    <xf numFmtId="14" fontId="53" fillId="0" borderId="0" xfId="59" applyNumberFormat="1" applyFont="1"/>
    <xf numFmtId="0" fontId="1" fillId="0" borderId="36" xfId="59" applyBorder="1"/>
    <xf numFmtId="0" fontId="1" fillId="0" borderId="37" xfId="59" applyBorder="1"/>
    <xf numFmtId="0" fontId="1" fillId="0" borderId="43" xfId="59" applyBorder="1"/>
    <xf numFmtId="0" fontId="1" fillId="0" borderId="21" xfId="59" applyBorder="1" applyAlignment="1" applyProtection="1">
      <alignment horizontal="left"/>
      <protection locked="0"/>
    </xf>
    <xf numFmtId="0" fontId="32" fillId="0" borderId="23" xfId="46" applyNumberFormat="1" applyFill="1" applyBorder="1" applyAlignment="1">
      <alignment horizontal="left" vertical="center"/>
      <protection locked="0"/>
    </xf>
    <xf numFmtId="0" fontId="1" fillId="0" borderId="24" xfId="59" applyBorder="1"/>
    <xf numFmtId="167" fontId="54" fillId="0" borderId="0" xfId="59" applyNumberFormat="1" applyFont="1"/>
    <xf numFmtId="1" fontId="32" fillId="35" borderId="27" xfId="62" applyFill="1" applyBorder="1">
      <alignment horizontal="center" vertical="center" wrapText="1"/>
    </xf>
    <xf numFmtId="14" fontId="32" fillId="35" borderId="27" xfId="63" applyFill="1" applyBorder="1">
      <alignment horizontal="center" vertical="center" wrapText="1"/>
    </xf>
    <xf numFmtId="0" fontId="1" fillId="0" borderId="44" xfId="59" applyBorder="1"/>
    <xf numFmtId="167" fontId="1" fillId="0" borderId="24" xfId="59" applyNumberFormat="1" applyBorder="1"/>
    <xf numFmtId="0" fontId="32" fillId="36" borderId="0" xfId="64" applyBorder="1">
      <alignment horizontal="left" vertical="center" wrapText="1"/>
    </xf>
    <xf numFmtId="0" fontId="32" fillId="36" borderId="22" xfId="64" applyBorder="1">
      <alignment horizontal="left" vertical="center" wrapText="1"/>
    </xf>
    <xf numFmtId="0" fontId="3" fillId="0" borderId="0" xfId="1" applyBorder="1" applyAlignment="1">
      <alignment horizontal="center" vertical="center" wrapText="1"/>
    </xf>
    <xf numFmtId="0" fontId="28" fillId="0" borderId="21" xfId="55" applyBorder="1">
      <alignment horizontal="center" vertical="center" wrapText="1"/>
    </xf>
    <xf numFmtId="0" fontId="28" fillId="0" borderId="45" xfId="55" applyBorder="1">
      <alignment horizontal="center" vertical="center" wrapText="1"/>
    </xf>
    <xf numFmtId="0" fontId="28" fillId="0" borderId="23" xfId="55" applyBorder="1">
      <alignment horizontal="center" vertical="center" wrapText="1"/>
    </xf>
    <xf numFmtId="168" fontId="1" fillId="0" borderId="24" xfId="59" applyNumberFormat="1" applyBorder="1"/>
    <xf numFmtId="168" fontId="1" fillId="0" borderId="46" xfId="59" applyNumberFormat="1" applyBorder="1"/>
    <xf numFmtId="49" fontId="29" fillId="0" borderId="47" xfId="45" applyBorder="1">
      <alignment vertical="center" wrapText="1"/>
    </xf>
    <xf numFmtId="0" fontId="1" fillId="0" borderId="47" xfId="59" applyBorder="1" applyAlignment="1">
      <alignment vertical="center" wrapText="1"/>
    </xf>
    <xf numFmtId="0" fontId="1" fillId="0" borderId="48" xfId="59" applyBorder="1" applyAlignment="1">
      <alignment vertical="center" wrapText="1"/>
    </xf>
    <xf numFmtId="168" fontId="1" fillId="0" borderId="0" xfId="59" applyNumberFormat="1"/>
    <xf numFmtId="49" fontId="29" fillId="0" borderId="0" xfId="45">
      <alignment vertical="center" wrapText="1"/>
    </xf>
    <xf numFmtId="0" fontId="57" fillId="35" borderId="23" xfId="49" applyFont="1" applyFill="1" applyBorder="1" applyAlignment="1">
      <alignment horizontal="center" vertical="center" wrapText="1"/>
    </xf>
    <xf numFmtId="167" fontId="1" fillId="0" borderId="0" xfId="59" applyNumberFormat="1"/>
    <xf numFmtId="165" fontId="32" fillId="35" borderId="27" xfId="47" applyFill="1" applyBorder="1">
      <alignment vertical="center"/>
    </xf>
    <xf numFmtId="167" fontId="1" fillId="0" borderId="0" xfId="59" applyNumberFormat="1" applyAlignment="1">
      <alignment horizontal="center" vertical="center"/>
    </xf>
    <xf numFmtId="14" fontId="32" fillId="0" borderId="0" xfId="66">
      <alignment horizontal="center" vertical="center" wrapText="1"/>
    </xf>
    <xf numFmtId="166" fontId="32" fillId="0" borderId="27" xfId="67" applyFill="1" applyBorder="1">
      <alignment vertical="center"/>
      <protection locked="0"/>
    </xf>
    <xf numFmtId="14" fontId="32" fillId="0" borderId="27" xfId="68" applyFill="1" applyBorder="1">
      <alignment horizontal="center" vertical="center"/>
      <protection locked="0"/>
    </xf>
    <xf numFmtId="166" fontId="32" fillId="35" borderId="50" xfId="53" applyFill="1" applyBorder="1">
      <alignment vertical="center"/>
    </xf>
    <xf numFmtId="0" fontId="1" fillId="0" borderId="46" xfId="59" applyBorder="1"/>
    <xf numFmtId="0" fontId="1" fillId="0" borderId="47" xfId="59" applyBorder="1"/>
    <xf numFmtId="0" fontId="1" fillId="0" borderId="48" xfId="59" applyBorder="1"/>
    <xf numFmtId="0" fontId="59" fillId="0" borderId="0" xfId="59" applyFont="1" applyAlignment="1">
      <alignment vertical="top" wrapText="1"/>
    </xf>
    <xf numFmtId="0" fontId="1" fillId="0" borderId="51" xfId="59" applyBorder="1"/>
    <xf numFmtId="0" fontId="1" fillId="0" borderId="52" xfId="59" applyBorder="1"/>
    <xf numFmtId="0" fontId="60" fillId="0" borderId="52" xfId="59" applyFont="1" applyBorder="1" applyAlignment="1">
      <alignment horizontal="center"/>
    </xf>
    <xf numFmtId="0" fontId="1" fillId="0" borderId="53" xfId="59" applyBorder="1"/>
    <xf numFmtId="0" fontId="61" fillId="0" borderId="0" xfId="70" applyFont="1" applyAlignment="1">
      <alignment horizontal="center" vertical="center" wrapText="1"/>
    </xf>
    <xf numFmtId="0" fontId="61" fillId="0" borderId="0" xfId="70" quotePrefix="1" applyFont="1" applyAlignment="1">
      <alignment horizontal="center" vertical="center" wrapText="1"/>
    </xf>
    <xf numFmtId="169" fontId="62" fillId="42" borderId="35" xfId="71" applyNumberFormat="1" applyFont="1" applyFill="1" applyBorder="1" applyAlignment="1" applyProtection="1">
      <alignment vertical="center"/>
    </xf>
    <xf numFmtId="0" fontId="28" fillId="0" borderId="0" xfId="72" applyAlignment="1">
      <alignment horizontal="left" vertical="center"/>
    </xf>
    <xf numFmtId="169" fontId="63" fillId="0" borderId="35" xfId="71" applyNumberFormat="1" applyFont="1" applyFill="1" applyBorder="1" applyAlignment="1" applyProtection="1">
      <alignment vertical="center"/>
      <protection locked="0"/>
    </xf>
    <xf numFmtId="169" fontId="63" fillId="43" borderId="35" xfId="71" applyNumberFormat="1" applyFont="1" applyFill="1" applyBorder="1" applyAlignment="1" applyProtection="1">
      <alignment vertical="center"/>
    </xf>
    <xf numFmtId="0" fontId="1" fillId="0" borderId="0" xfId="59" applyAlignment="1" applyProtection="1">
      <alignment horizontal="left"/>
      <protection locked="0"/>
    </xf>
    <xf numFmtId="0" fontId="32" fillId="0" borderId="0" xfId="46" applyNumberFormat="1" applyFill="1" applyBorder="1" applyAlignment="1">
      <alignment horizontal="left" vertical="center"/>
      <protection locked="0"/>
    </xf>
    <xf numFmtId="0" fontId="27" fillId="0" borderId="0" xfId="59" applyFont="1"/>
    <xf numFmtId="0" fontId="28" fillId="0" borderId="24" xfId="72" applyBorder="1" applyAlignment="1">
      <alignment horizontal="left" vertical="center"/>
    </xf>
    <xf numFmtId="0" fontId="1" fillId="0" borderId="45" xfId="59" applyBorder="1" applyAlignment="1" applyProtection="1">
      <alignment horizontal="left"/>
      <protection locked="0"/>
    </xf>
    <xf numFmtId="0" fontId="32" fillId="0" borderId="45" xfId="46" applyNumberFormat="1" applyFill="1" applyBorder="1" applyAlignment="1">
      <alignment horizontal="left" vertical="center"/>
      <protection locked="0"/>
    </xf>
    <xf numFmtId="0" fontId="64" fillId="0" borderId="0" xfId="70" applyFont="1" applyAlignment="1">
      <alignment horizontal="center" vertical="center" wrapText="1"/>
    </xf>
    <xf numFmtId="0" fontId="64" fillId="0" borderId="45" xfId="70" applyFont="1" applyBorder="1" applyAlignment="1">
      <alignment horizontal="center" vertical="center" wrapText="1"/>
    </xf>
    <xf numFmtId="10" fontId="32" fillId="35" borderId="27" xfId="61" applyFont="1" applyFill="1" applyBorder="1">
      <alignment horizontal="center" vertical="center" wrapText="1"/>
    </xf>
    <xf numFmtId="14" fontId="32" fillId="0" borderId="54" xfId="67" applyNumberFormat="1" applyFill="1" applyBorder="1" applyAlignment="1">
      <alignment horizontal="center" vertical="center"/>
      <protection locked="0"/>
    </xf>
    <xf numFmtId="0" fontId="32" fillId="0" borderId="24" xfId="72" applyFont="1" applyBorder="1" applyAlignment="1">
      <alignment vertical="center" wrapText="1"/>
    </xf>
    <xf numFmtId="0" fontId="18" fillId="0" borderId="0" xfId="59" applyFont="1"/>
    <xf numFmtId="166" fontId="32" fillId="0" borderId="55" xfId="67" applyFill="1" applyBorder="1">
      <alignment vertical="center"/>
      <protection locked="0"/>
    </xf>
    <xf numFmtId="0" fontId="1" fillId="0" borderId="0" xfId="59" applyAlignment="1">
      <alignment horizontal="center"/>
    </xf>
    <xf numFmtId="0" fontId="32" fillId="35" borderId="50" xfId="73" applyBorder="1" applyProtection="1">
      <alignment horizontal="center" vertical="center" wrapText="1"/>
    </xf>
    <xf numFmtId="0" fontId="28" fillId="0" borderId="0" xfId="70">
      <alignment horizontal="left" vertical="center" wrapText="1"/>
    </xf>
    <xf numFmtId="0" fontId="32" fillId="0" borderId="27" xfId="73" applyFill="1" applyBorder="1">
      <alignment horizontal="center" vertical="center" wrapText="1"/>
      <protection locked="0"/>
    </xf>
    <xf numFmtId="0" fontId="32" fillId="35" borderId="27" xfId="73" applyBorder="1" applyProtection="1">
      <alignment horizontal="center" vertical="center" wrapText="1"/>
    </xf>
    <xf numFmtId="0" fontId="1" fillId="0" borderId="0" xfId="59" applyAlignment="1">
      <alignment vertical="top" wrapText="1"/>
    </xf>
    <xf numFmtId="49" fontId="63" fillId="0" borderId="0" xfId="45" applyFont="1">
      <alignment vertical="center" wrapText="1"/>
    </xf>
    <xf numFmtId="0" fontId="1" fillId="0" borderId="59" xfId="59" applyBorder="1"/>
    <xf numFmtId="0" fontId="1" fillId="0" borderId="60" xfId="59" applyBorder="1"/>
    <xf numFmtId="0" fontId="1" fillId="0" borderId="61" xfId="59" applyBorder="1"/>
    <xf numFmtId="10" fontId="66" fillId="0" borderId="37" xfId="59" applyNumberFormat="1" applyFont="1" applyBorder="1" applyAlignment="1">
      <alignment horizontal="center"/>
    </xf>
    <xf numFmtId="0" fontId="1" fillId="0" borderId="37" xfId="59" applyBorder="1" applyAlignment="1">
      <alignment horizontal="center"/>
    </xf>
    <xf numFmtId="14" fontId="67" fillId="0" borderId="37" xfId="59" applyNumberFormat="1" applyFont="1" applyBorder="1"/>
    <xf numFmtId="10" fontId="28" fillId="0" borderId="0" xfId="76" applyBorder="1">
      <alignment horizontal="center" vertical="center"/>
    </xf>
    <xf numFmtId="0" fontId="32" fillId="0" borderId="0" xfId="77">
      <alignment horizontal="center" vertical="center" wrapText="1"/>
    </xf>
    <xf numFmtId="10" fontId="28" fillId="0" borderId="25" xfId="76">
      <alignment horizontal="center" vertical="center"/>
    </xf>
    <xf numFmtId="0" fontId="68" fillId="0" borderId="0" xfId="59" applyFont="1" applyAlignment="1">
      <alignment vertical="top" wrapText="1"/>
    </xf>
    <xf numFmtId="0" fontId="69" fillId="0" borderId="0" xfId="59" applyFont="1" applyAlignment="1">
      <alignment vertical="top" wrapText="1"/>
    </xf>
    <xf numFmtId="0" fontId="71" fillId="0" borderId="0" xfId="59" applyFont="1"/>
    <xf numFmtId="0" fontId="72" fillId="0" borderId="0" xfId="56" applyFont="1" applyAlignment="1">
      <alignment horizontal="left" vertical="center" wrapText="1"/>
    </xf>
    <xf numFmtId="0" fontId="35" fillId="35" borderId="27" xfId="49" applyFont="1" applyFill="1" applyBorder="1" applyAlignment="1">
      <alignment horizontal="center" vertical="center" wrapText="1"/>
    </xf>
    <xf numFmtId="0" fontId="1" fillId="0" borderId="19" xfId="59" applyBorder="1"/>
    <xf numFmtId="0" fontId="14" fillId="0" borderId="27" xfId="51" applyFill="1" applyBorder="1" applyProtection="1">
      <alignment horizontal="center" vertical="center" wrapText="1"/>
      <protection locked="0"/>
    </xf>
    <xf numFmtId="0" fontId="28" fillId="0" borderId="27" xfId="80" applyFill="1" applyBorder="1">
      <alignment horizontal="center" vertical="center" wrapText="1"/>
      <protection locked="0"/>
    </xf>
    <xf numFmtId="0" fontId="49" fillId="0" borderId="0" xfId="57">
      <alignment vertical="center" wrapText="1"/>
      <protection locked="0"/>
    </xf>
    <xf numFmtId="164" fontId="40" fillId="0" borderId="0" xfId="58" applyFont="1" applyFill="1" applyBorder="1" applyAlignment="1">
      <alignment horizontal="left" vertical="top"/>
    </xf>
    <xf numFmtId="0" fontId="28" fillId="0" borderId="0" xfId="80" applyFill="1" applyBorder="1">
      <alignment horizontal="center" vertical="center" wrapText="1"/>
      <protection locked="0"/>
    </xf>
    <xf numFmtId="0" fontId="18" fillId="0" borderId="0" xfId="81" applyFont="1"/>
    <xf numFmtId="0" fontId="14" fillId="46" borderId="0" xfId="49" applyFont="1" applyFill="1" applyAlignment="1">
      <alignment horizontal="center" vertical="center" wrapText="1"/>
    </xf>
    <xf numFmtId="0" fontId="40" fillId="0" borderId="0" xfId="51" applyFont="1" applyFill="1" applyBorder="1" applyAlignment="1" applyProtection="1">
      <alignment horizontal="right"/>
    </xf>
    <xf numFmtId="0" fontId="39" fillId="35" borderId="31" xfId="59" applyFont="1" applyFill="1" applyBorder="1" applyAlignment="1">
      <alignment horizontal="left" vertical="center"/>
    </xf>
    <xf numFmtId="0" fontId="39" fillId="35" borderId="33" xfId="59" applyFont="1" applyFill="1" applyBorder="1" applyAlignment="1">
      <alignment horizontal="right" vertical="center"/>
    </xf>
    <xf numFmtId="0" fontId="27" fillId="0" borderId="0" xfId="59" applyFont="1" applyAlignment="1">
      <alignment vertical="center"/>
    </xf>
    <xf numFmtId="0" fontId="39" fillId="0" borderId="0" xfId="59" applyFont="1" applyAlignment="1">
      <alignment vertical="center"/>
    </xf>
    <xf numFmtId="0" fontId="74" fillId="0" borderId="0" xfId="59" applyFont="1" applyAlignment="1">
      <alignment vertical="center"/>
    </xf>
    <xf numFmtId="0" fontId="28" fillId="0" borderId="0" xfId="57" applyFont="1">
      <alignment vertical="center" wrapText="1"/>
      <protection locked="0"/>
    </xf>
    <xf numFmtId="0" fontId="14" fillId="38" borderId="25" xfId="51" applyFill="1">
      <alignment horizontal="center" vertical="center" wrapText="1"/>
    </xf>
    <xf numFmtId="0" fontId="51" fillId="38" borderId="64" xfId="42" applyFont="1" applyFill="1" applyBorder="1" applyAlignment="1">
      <alignment horizontal="center" vertical="center" wrapText="1"/>
    </xf>
    <xf numFmtId="0" fontId="75" fillId="0" borderId="0" xfId="59" applyFont="1"/>
    <xf numFmtId="0" fontId="1" fillId="0" borderId="18" xfId="59" applyBorder="1"/>
    <xf numFmtId="10" fontId="76" fillId="0" borderId="19" xfId="59" applyNumberFormat="1" applyFont="1" applyBorder="1" applyAlignment="1">
      <alignment horizontal="left"/>
    </xf>
    <xf numFmtId="0" fontId="76" fillId="0" borderId="19" xfId="59" applyFont="1" applyBorder="1"/>
    <xf numFmtId="0" fontId="75" fillId="0" borderId="19" xfId="59" applyFont="1" applyBorder="1"/>
    <xf numFmtId="0" fontId="1" fillId="0" borderId="20" xfId="59" applyBorder="1"/>
    <xf numFmtId="0" fontId="32" fillId="0" borderId="0" xfId="83" applyAlignment="1">
      <alignment horizontal="left" vertical="top" wrapText="1"/>
    </xf>
    <xf numFmtId="0" fontId="1" fillId="0" borderId="26" xfId="59" applyBorder="1"/>
    <xf numFmtId="0" fontId="32" fillId="0" borderId="0" xfId="83">
      <alignment horizontal="left" vertical="center" wrapText="1"/>
    </xf>
    <xf numFmtId="0" fontId="77" fillId="0" borderId="0" xfId="59" applyFont="1"/>
    <xf numFmtId="0" fontId="28" fillId="0" borderId="0" xfId="72">
      <alignment horizontal="left" vertical="center" wrapText="1"/>
    </xf>
    <xf numFmtId="0" fontId="76" fillId="0" borderId="0" xfId="59" applyFont="1"/>
    <xf numFmtId="0" fontId="76" fillId="0" borderId="24" xfId="59" applyFont="1" applyBorder="1"/>
    <xf numFmtId="0" fontId="76" fillId="0" borderId="26" xfId="59" applyFont="1" applyBorder="1"/>
    <xf numFmtId="0" fontId="1" fillId="0" borderId="28" xfId="59" applyBorder="1"/>
    <xf numFmtId="0" fontId="1" fillId="0" borderId="29" xfId="59" applyBorder="1"/>
    <xf numFmtId="0" fontId="1" fillId="0" borderId="65" xfId="59" applyBorder="1"/>
    <xf numFmtId="0" fontId="28" fillId="0" borderId="19" xfId="72" applyBorder="1">
      <alignment horizontal="left" vertical="center" wrapText="1"/>
    </xf>
    <xf numFmtId="0" fontId="31" fillId="0" borderId="21" xfId="59" applyFont="1" applyBorder="1" applyAlignment="1" applyProtection="1">
      <alignment horizontal="left"/>
      <protection locked="0"/>
    </xf>
    <xf numFmtId="4" fontId="1" fillId="0" borderId="24" xfId="59" applyNumberFormat="1" applyBorder="1"/>
    <xf numFmtId="49" fontId="28" fillId="0" borderId="0" xfId="69">
      <alignment horizontal="center" vertical="center" wrapText="1"/>
    </xf>
    <xf numFmtId="0" fontId="76" fillId="0" borderId="0" xfId="59" applyFont="1" applyAlignment="1">
      <alignment horizontal="left"/>
    </xf>
    <xf numFmtId="0" fontId="83" fillId="0" borderId="0" xfId="82" applyFont="1" applyFill="1" applyBorder="1" applyAlignment="1">
      <alignment horizontal="left"/>
    </xf>
    <xf numFmtId="0" fontId="17" fillId="0" borderId="0" xfId="59" applyFont="1"/>
    <xf numFmtId="0" fontId="35" fillId="0" borderId="0" xfId="59" applyFont="1" applyAlignment="1">
      <alignment horizontal="right"/>
    </xf>
    <xf numFmtId="0" fontId="17" fillId="0" borderId="0" xfId="59" applyFont="1" applyAlignment="1">
      <alignment horizontal="right"/>
    </xf>
    <xf numFmtId="0" fontId="51" fillId="38" borderId="25" xfId="42" applyFont="1" applyFill="1" applyBorder="1" applyAlignment="1">
      <alignment horizontal="center" vertical="center" wrapText="1"/>
    </xf>
    <xf numFmtId="0" fontId="20" fillId="0" borderId="0" xfId="0" applyFont="1" applyAlignment="1">
      <alignment horizontal="center" vertical="center"/>
    </xf>
    <xf numFmtId="164" fontId="22" fillId="0" borderId="0" xfId="0" applyNumberFormat="1" applyFont="1" applyAlignment="1">
      <alignment horizontal="center" vertical="center"/>
    </xf>
    <xf numFmtId="0" fontId="21" fillId="0" borderId="0" xfId="0" applyFont="1" applyAlignment="1">
      <alignment horizontal="center" vertical="center"/>
    </xf>
    <xf numFmtId="0" fontId="28" fillId="0" borderId="0" xfId="72" applyAlignment="1">
      <alignment horizontal="left" vertical="center"/>
    </xf>
    <xf numFmtId="0" fontId="32" fillId="0" borderId="0" xfId="72" applyFont="1" applyAlignment="1">
      <alignment horizontal="left" vertical="center"/>
    </xf>
    <xf numFmtId="0" fontId="60" fillId="0" borderId="26" xfId="59" applyFont="1" applyBorder="1" applyAlignment="1">
      <alignment horizontal="center" wrapText="1"/>
    </xf>
    <xf numFmtId="0" fontId="60" fillId="0" borderId="0" xfId="59" applyFont="1" applyAlignment="1">
      <alignment horizontal="center" wrapText="1"/>
    </xf>
    <xf numFmtId="49" fontId="45" fillId="0" borderId="0" xfId="45" applyFont="1">
      <alignment vertical="center" wrapText="1"/>
    </xf>
    <xf numFmtId="0" fontId="70" fillId="0" borderId="22" xfId="49" applyFont="1" applyBorder="1" applyAlignment="1">
      <alignment horizontal="left" vertical="center" wrapText="1"/>
    </xf>
    <xf numFmtId="0" fontId="61" fillId="0" borderId="26" xfId="70" quotePrefix="1" applyFont="1" applyBorder="1" applyAlignment="1">
      <alignment horizontal="center" vertical="center" wrapText="1"/>
    </xf>
    <xf numFmtId="0" fontId="61" fillId="0" borderId="0" xfId="70" applyFont="1" applyAlignment="1">
      <alignment horizontal="center" vertical="center" wrapText="1"/>
    </xf>
    <xf numFmtId="0" fontId="28" fillId="0" borderId="41" xfId="55" applyBorder="1">
      <alignment horizontal="center" vertical="center" wrapText="1"/>
    </xf>
    <xf numFmtId="0" fontId="28" fillId="0" borderId="40" xfId="55" applyBorder="1">
      <alignment horizontal="center" vertical="center" wrapText="1"/>
    </xf>
    <xf numFmtId="0" fontId="57" fillId="35" borderId="41" xfId="49" applyFont="1" applyFill="1" applyBorder="1" applyAlignment="1">
      <alignment horizontal="left" vertical="center" wrapText="1" indent="1"/>
    </xf>
    <xf numFmtId="0" fontId="57" fillId="35" borderId="49" xfId="49" applyFont="1" applyFill="1" applyBorder="1" applyAlignment="1">
      <alignment horizontal="left" vertical="center" wrapText="1" indent="1"/>
    </xf>
    <xf numFmtId="0" fontId="57" fillId="35" borderId="40" xfId="49" applyFont="1" applyFill="1" applyBorder="1" applyAlignment="1">
      <alignment horizontal="left" vertical="center" wrapText="1" indent="1"/>
    </xf>
    <xf numFmtId="0" fontId="64" fillId="35" borderId="63" xfId="75" applyFill="1" applyBorder="1" applyAlignment="1">
      <alignment horizontal="left" vertical="center" wrapText="1" indent="1"/>
    </xf>
    <xf numFmtId="0" fontId="64" fillId="35" borderId="60" xfId="75" applyFill="1" applyBorder="1" applyAlignment="1">
      <alignment horizontal="left" vertical="center" wrapText="1" indent="1"/>
    </xf>
    <xf numFmtId="0" fontId="64" fillId="35" borderId="62" xfId="75" applyFill="1" applyBorder="1" applyAlignment="1">
      <alignment horizontal="left" vertical="center" wrapText="1" indent="1"/>
    </xf>
    <xf numFmtId="0" fontId="28" fillId="0" borderId="26" xfId="70" applyBorder="1" applyAlignment="1">
      <alignment horizontal="center" vertical="center" wrapText="1"/>
    </xf>
    <xf numFmtId="0" fontId="28" fillId="0" borderId="0" xfId="70" applyAlignment="1">
      <alignment horizontal="center" vertical="center" wrapText="1"/>
    </xf>
    <xf numFmtId="164" fontId="50" fillId="0" borderId="34" xfId="58" applyFill="1" applyBorder="1">
      <alignment horizontal="left" vertical="center" wrapText="1"/>
    </xf>
    <xf numFmtId="164" fontId="50" fillId="0" borderId="0" xfId="58" applyFill="1" applyBorder="1">
      <alignment horizontal="left" vertical="center" wrapText="1"/>
    </xf>
    <xf numFmtId="0" fontId="44" fillId="0" borderId="0" xfId="56" applyAlignment="1">
      <alignment horizontal="left" vertical="center" wrapText="1"/>
    </xf>
    <xf numFmtId="0" fontId="28" fillId="0" borderId="0" xfId="70">
      <alignment horizontal="left" vertical="center" wrapText="1"/>
    </xf>
    <xf numFmtId="0" fontId="1" fillId="0" borderId="24" xfId="59" applyBorder="1"/>
    <xf numFmtId="0" fontId="37" fillId="38" borderId="34" xfId="49" applyFont="1" applyFill="1" applyBorder="1" applyAlignment="1" applyProtection="1">
      <alignment horizontal="center" vertical="center" wrapText="1"/>
      <protection locked="0"/>
    </xf>
    <xf numFmtId="0" fontId="14" fillId="38" borderId="0" xfId="49" applyFont="1" applyFill="1" applyBorder="1" applyAlignment="1" applyProtection="1">
      <alignment horizontal="center" vertical="center" wrapText="1"/>
      <protection locked="0"/>
    </xf>
    <xf numFmtId="0" fontId="49" fillId="0" borderId="0" xfId="57">
      <alignment vertical="center" wrapText="1"/>
      <protection locked="0"/>
    </xf>
    <xf numFmtId="0" fontId="73" fillId="0" borderId="0" xfId="82" applyFont="1" applyFill="1" applyBorder="1" applyAlignment="1">
      <alignment horizontal="left"/>
    </xf>
    <xf numFmtId="0" fontId="28" fillId="0" borderId="23" xfId="55" applyBorder="1">
      <alignment horizontal="center" vertical="center" wrapText="1"/>
    </xf>
    <xf numFmtId="0" fontId="28" fillId="0" borderId="45" xfId="55" applyBorder="1">
      <alignment horizontal="center" vertical="center" wrapText="1"/>
    </xf>
    <xf numFmtId="49" fontId="44" fillId="0" borderId="0" xfId="45" applyFont="1">
      <alignment vertical="center" wrapText="1"/>
    </xf>
    <xf numFmtId="49" fontId="56" fillId="0" borderId="0" xfId="45" applyFont="1">
      <alignment vertical="center" wrapText="1"/>
    </xf>
    <xf numFmtId="49" fontId="28" fillId="0" borderId="0" xfId="69" applyAlignment="1">
      <alignment horizontal="right" vertical="center" wrapText="1" indent="1"/>
    </xf>
    <xf numFmtId="49" fontId="44" fillId="0" borderId="0" xfId="65" applyFont="1">
      <alignment vertical="center" wrapText="1"/>
    </xf>
    <xf numFmtId="49" fontId="56" fillId="0" borderId="0" xfId="65" applyFont="1">
      <alignment vertical="center" wrapText="1"/>
    </xf>
    <xf numFmtId="0" fontId="32" fillId="0" borderId="58" xfId="74" applyFill="1" applyBorder="1">
      <alignment vertical="center" wrapText="1"/>
      <protection locked="0"/>
    </xf>
    <xf numFmtId="0" fontId="32" fillId="0" borderId="57" xfId="74" applyFill="1" applyBorder="1">
      <alignment vertical="center" wrapText="1"/>
      <protection locked="0"/>
    </xf>
    <xf numFmtId="0" fontId="32" fillId="0" borderId="56" xfId="74" applyFill="1" applyBorder="1">
      <alignment vertical="center" wrapText="1"/>
      <protection locked="0"/>
    </xf>
    <xf numFmtId="0" fontId="35" fillId="35" borderId="33" xfId="49" applyFont="1" applyFill="1" applyBorder="1" applyAlignment="1">
      <alignment horizontal="left" vertical="center" wrapText="1" indent="1"/>
    </xf>
    <xf numFmtId="0" fontId="35" fillId="35" borderId="32" xfId="49" applyFont="1" applyFill="1" applyBorder="1" applyAlignment="1">
      <alignment horizontal="left" vertical="center" wrapText="1" indent="1"/>
    </xf>
    <xf numFmtId="0" fontId="35" fillId="35" borderId="31" xfId="49" applyFont="1" applyFill="1" applyBorder="1" applyAlignment="1">
      <alignment horizontal="left" vertical="center" wrapText="1" indent="1"/>
    </xf>
    <xf numFmtId="0" fontId="45" fillId="0" borderId="0" xfId="56" applyFont="1" applyAlignment="1">
      <alignment horizontal="left" vertical="center" wrapText="1"/>
    </xf>
    <xf numFmtId="0" fontId="28" fillId="0" borderId="41" xfId="55" applyBorder="1" applyProtection="1">
      <alignment horizontal="center" vertical="center" wrapText="1"/>
      <protection locked="0"/>
    </xf>
    <xf numFmtId="0" fontId="28" fillId="0" borderId="40" xfId="55" applyBorder="1" applyProtection="1">
      <alignment horizontal="center" vertical="center" wrapText="1"/>
      <protection locked="0"/>
    </xf>
    <xf numFmtId="0" fontId="37" fillId="38" borderId="34" xfId="51" applyFont="1" applyFill="1" applyBorder="1" applyProtection="1">
      <alignment horizontal="center" vertical="center" wrapText="1"/>
      <protection locked="0"/>
    </xf>
    <xf numFmtId="0" fontId="14" fillId="38" borderId="0" xfId="51" applyFill="1" applyBorder="1" applyProtection="1">
      <alignment horizontal="center" vertical="center" wrapText="1"/>
      <protection locked="0"/>
    </xf>
    <xf numFmtId="0" fontId="57" fillId="35" borderId="55" xfId="49" applyFont="1" applyFill="1" applyBorder="1" applyAlignment="1">
      <alignment horizontal="left" vertical="center" wrapText="1" indent="1"/>
    </xf>
    <xf numFmtId="0" fontId="28" fillId="0" borderId="0" xfId="72">
      <alignment horizontal="left" vertical="center" wrapText="1"/>
    </xf>
    <xf numFmtId="0" fontId="32" fillId="0" borderId="0" xfId="83">
      <alignment horizontal="left" vertical="center" wrapText="1"/>
    </xf>
    <xf numFmtId="164" fontId="50" fillId="0" borderId="25" xfId="58" applyFill="1">
      <alignment horizontal="left" vertical="center" wrapText="1"/>
    </xf>
    <xf numFmtId="0" fontId="81" fillId="0" borderId="0" xfId="56" applyFont="1" applyAlignment="1">
      <alignment horizontal="left" vertical="center" wrapText="1"/>
    </xf>
    <xf numFmtId="0" fontId="80" fillId="0" borderId="0" xfId="56" applyFont="1" applyAlignment="1">
      <alignment horizontal="left" wrapText="1"/>
    </xf>
    <xf numFmtId="0" fontId="78" fillId="0" borderId="0" xfId="56" applyFont="1" applyAlignment="1">
      <alignment horizontal="left" vertical="top" wrapText="1"/>
    </xf>
    <xf numFmtId="0" fontId="1" fillId="0" borderId="0" xfId="59" applyAlignment="1">
      <alignment horizontal="left" vertical="center" wrapText="1"/>
    </xf>
    <xf numFmtId="0" fontId="32" fillId="0" borderId="0" xfId="83" applyAlignment="1">
      <alignment horizontal="left" vertical="top" wrapText="1"/>
    </xf>
    <xf numFmtId="0" fontId="24" fillId="34" borderId="0" xfId="0" applyFont="1" applyFill="1"/>
  </cellXfs>
  <cellStyles count="8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Blank % Bold" xfId="76" xr:uid="{46E46E3D-39C9-4321-BA47-31C09E5A3FB4}"/>
    <cellStyle name="Blank Bold" xfId="70" xr:uid="{B9BC9F2C-C358-4B30-8DA3-F6617E2F9117}"/>
    <cellStyle name="Blank Date" xfId="66" xr:uid="{AB5AF8BB-B921-44D1-8D91-762FB830D666}"/>
    <cellStyle name="Calculation" xfId="11" builtinId="22" customBuiltin="1"/>
    <cellStyle name="Check Cell" xfId="13" builtinId="23" customBuiltin="1"/>
    <cellStyle name="Comma 2" xfId="71" xr:uid="{008A7870-1581-4381-8A9D-BC82E5D0260B}"/>
    <cellStyle name="Comma 4" xfId="52" xr:uid="{E630B842-993B-4B5E-9858-A65BFA8BE854}"/>
    <cellStyle name="DataField" xfId="74" xr:uid="{FAD73AEB-1B7A-45F4-BFF3-AFCD112BEB51}"/>
    <cellStyle name="DataField Center" xfId="73" xr:uid="{8D436124-C3C0-4179-A01E-5464F379AA7E}"/>
    <cellStyle name="DataField Center Bold" xfId="80" xr:uid="{9BB9E5DC-5A5F-4E1C-BE91-F5A5F5091158}"/>
    <cellStyle name="DataField Date" xfId="68" xr:uid="{796298ED-6DDE-4C4C-ACC2-FF4F63E30017}"/>
    <cellStyle name="DataField$" xfId="67" xr:uid="{590C9785-74A5-4F9B-88D6-046008C8C6C1}"/>
    <cellStyle name="Explanatory Text" xfId="16" builtinId="53" customBuiltin="1"/>
    <cellStyle name="Formula" xfId="60" xr:uid="{17A8D883-0A95-4993-A80E-BFC3C018BE22}"/>
    <cellStyle name="Formula #" xfId="62" xr:uid="{0AAB8ED2-763A-4AA4-ACE2-B6261AB84E38}"/>
    <cellStyle name="Formula Date" xfId="63" xr:uid="{C5D101BC-8FA3-4A35-AE3B-AE41EB1018FB}"/>
    <cellStyle name="Formula Text" xfId="64" xr:uid="{DB0286BA-4F6B-47D3-850B-25D633729B54}"/>
    <cellStyle name="Formula$" xfId="53" xr:uid="{7A8CEAEB-1DA7-426A-95D8-CF2E9012B9E2}"/>
    <cellStyle name="Formula% 2" xfId="61" xr:uid="{3AD16C4F-CCB6-4C32-AAC0-A1DAE336F3A3}"/>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Hyperlink 2" xfId="49" xr:uid="{2F9EA4B6-60A0-4131-BDA7-476DFD0DFA96}"/>
    <cellStyle name="Hyperlinks" xfId="54" xr:uid="{AA086695-1D20-4127-8B44-B514665024C7}"/>
    <cellStyle name="Index" xfId="51" xr:uid="{26C52923-C3E3-4775-84FF-A53BEA3ACAC9}"/>
    <cellStyle name="Index Information" xfId="48" xr:uid="{A25CB181-B046-4C69-AD2B-EE89B09907EB}"/>
    <cellStyle name="Information" xfId="45" xr:uid="{51EF8ADE-A364-4B5C-A15A-BBA5ADA4AB16}"/>
    <cellStyle name="Information 3" xfId="50" xr:uid="{BBB65B96-8875-4B2A-B0A6-D8DFCC9A0676}"/>
    <cellStyle name="Information Bold" xfId="65" xr:uid="{8E49E839-FC0A-42E0-AA10-D507B5B6F245}"/>
    <cellStyle name="Input" xfId="9" builtinId="20" customBuiltin="1"/>
    <cellStyle name="Linked Cell" xfId="12" builtinId="24" customBuiltin="1"/>
    <cellStyle name="Neutral" xfId="8" builtinId="28" customBuiltin="1"/>
    <cellStyle name="Normal" xfId="0" builtinId="0" customBuiltin="1"/>
    <cellStyle name="Normal 12" xfId="59" xr:uid="{8F8C949C-F3FF-4597-83CF-69633BA7297F}"/>
    <cellStyle name="Normal 2" xfId="43" xr:uid="{6F0FE058-3A94-42D4-99E4-38552C539F93}"/>
    <cellStyle name="Normal 23" xfId="81" xr:uid="{7E0F390E-09D8-4DE6-BD91-C2FF533EFEE6}"/>
    <cellStyle name="Note" xfId="15" builtinId="10" customBuiltin="1"/>
    <cellStyle name="Notes" xfId="46" xr:uid="{D3F69092-D897-4301-A2E8-EB046974FC7D}"/>
    <cellStyle name="Output" xfId="10" builtinId="21" customBuiltin="1"/>
    <cellStyle name="Page Title" xfId="57" xr:uid="{4AC7E47B-6DCD-427E-B380-C2349343CE74}"/>
    <cellStyle name="Sheet Title" xfId="55" xr:uid="{D566E194-AB76-48F9-9BC0-69B48C1007EA}"/>
    <cellStyle name="Subtotal$" xfId="47" xr:uid="{E97E06DE-9543-4D00-B34A-F4273E5C2A15}"/>
    <cellStyle name="Tab Name" xfId="75" xr:uid="{E1CC316F-ACCE-464F-8B6D-9B8BDACB411E}"/>
    <cellStyle name="TemplateInfoTitle" xfId="56" xr:uid="{62674353-1842-4E3B-85D7-BB4CDA789822}"/>
    <cellStyle name="TextNoLine" xfId="83" xr:uid="{6AC75D23-285B-4F88-BC4A-E79100C7D17D}"/>
    <cellStyle name="TextNoLine Center" xfId="77" xr:uid="{A76743C0-3F65-4ED3-BAB9-7912CA133971}"/>
    <cellStyle name="TextNoLineBold" xfId="72" xr:uid="{5634848A-E65F-4CC8-902A-45F2622BF6AA}"/>
    <cellStyle name="TextNoLineBold 3" xfId="44" xr:uid="{03E573D2-71FF-430E-913D-3815D43DF9DB}"/>
    <cellStyle name="TextNoLineBold Center" xfId="69" xr:uid="{15E76791-A603-4646-9861-9C3FE0C798EA}"/>
    <cellStyle name="Title" xfId="1" builtinId="15" customBuiltin="1"/>
    <cellStyle name="TL - Grey" xfId="79" xr:uid="{4A7804FE-561D-4A99-B4AE-E9E989DCE02F}"/>
    <cellStyle name="TL - Yellow" xfId="78" xr:uid="{809ACDBF-CF74-412A-9E76-16295D8F15F6}"/>
    <cellStyle name="Total" xfId="17" builtinId="25" customBuiltin="1"/>
    <cellStyle name="Warning Text" xfId="14" builtinId="11" customBuiltin="1"/>
    <cellStyle name="WP Client" xfId="82" xr:uid="{91EA08E2-77F1-4320-9E17-C233F792AD25}"/>
    <cellStyle name="WP Client Date" xfId="58" xr:uid="{1481AEF3-8BD7-4ACB-A7B3-23C593B8E577}"/>
  </cellStyles>
  <dxfs count="41">
    <dxf>
      <font>
        <color rgb="FF25FF0C"/>
      </font>
      <fill>
        <patternFill patternType="solid">
          <fgColor indexed="64"/>
          <bgColor rgb="FF25FF0C"/>
        </patternFill>
      </fill>
    </dxf>
    <dxf>
      <font>
        <color rgb="FFFF6D0C"/>
      </font>
      <fill>
        <patternFill patternType="solid">
          <fgColor indexed="64"/>
          <bgColor rgb="FFFF6D0C"/>
        </patternFill>
      </fill>
    </dxf>
    <dxf>
      <font>
        <color rgb="FF25FF0C"/>
      </font>
      <fill>
        <patternFill patternType="solid">
          <fgColor indexed="64"/>
          <bgColor rgb="FF25FF0C"/>
        </patternFill>
      </fill>
    </dxf>
    <dxf>
      <font>
        <color rgb="FFFF6D0C"/>
      </font>
      <fill>
        <patternFill patternType="solid">
          <fgColor indexed="64"/>
          <bgColor rgb="FFFF6D0C"/>
        </patternFill>
      </fill>
    </dxf>
    <dxf>
      <font>
        <b/>
        <i val="0"/>
        <color theme="0"/>
      </font>
      <fill>
        <patternFill>
          <bgColor rgb="FFFF0000"/>
        </patternFill>
      </fill>
    </dxf>
    <dxf>
      <font>
        <color theme="1"/>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1"/>
      </font>
      <fill>
        <patternFill>
          <bgColor theme="0"/>
        </patternFill>
      </fill>
    </dxf>
    <dxf>
      <fill>
        <patternFill>
          <bgColor theme="0" tint="-4.9989318521683403E-2"/>
        </patternFill>
      </fill>
    </dxf>
    <dxf>
      <fill>
        <gradientFill degree="225">
          <stop position="0">
            <color theme="0" tint="-0.1490218817712943"/>
          </stop>
          <stop position="1">
            <color theme="0"/>
          </stop>
        </gradientFill>
      </fill>
    </dxf>
    <dxf>
      <font>
        <b/>
        <i val="0"/>
        <color theme="0"/>
      </font>
      <fill>
        <patternFill>
          <bgColor rgb="FFC00000"/>
        </patternFill>
      </fill>
    </dxf>
    <dxf>
      <font>
        <b/>
        <i val="0"/>
        <color theme="0"/>
      </font>
      <fill>
        <patternFill>
          <bgColor theme="9"/>
        </patternFill>
      </fill>
    </dxf>
    <dxf>
      <font>
        <b/>
        <i val="0"/>
        <color rgb="FFBF8F00"/>
      </font>
      <fill>
        <patternFill>
          <bgColor theme="7" tint="0.79998168889431442"/>
        </patternFill>
      </fill>
      <border>
        <left style="thin">
          <color rgb="FFBF8F00"/>
        </left>
        <right style="thin">
          <color rgb="FFBF8F00"/>
        </right>
        <top style="thin">
          <color rgb="FFBF8F00"/>
        </top>
        <bottom style="thin">
          <color rgb="FFBF8F00"/>
        </bottom>
        <vertical/>
        <horizontal/>
      </border>
    </dxf>
    <dxf>
      <font>
        <b/>
        <i val="0"/>
        <color rgb="FFBF8F00"/>
      </font>
      <numFmt numFmtId="0" formatCode="General"/>
      <fill>
        <patternFill>
          <bgColor theme="7" tint="0.79998168889431442"/>
        </patternFill>
      </fill>
      <border>
        <left style="thin">
          <color rgb="FFBF8F00"/>
        </left>
        <right style="thin">
          <color rgb="FFBF8F00"/>
        </right>
        <top style="thin">
          <color rgb="FFBF8F00"/>
        </top>
        <bottom style="thin">
          <color rgb="FFBF8F00"/>
        </bottom>
      </border>
    </dxf>
    <dxf>
      <font>
        <b/>
        <i val="0"/>
        <color rgb="FFBF8F00"/>
      </font>
      <fill>
        <patternFill>
          <bgColor theme="7" tint="0.79998168889431442"/>
        </patternFill>
      </fill>
      <border>
        <left style="thin">
          <color rgb="FFBF8F00"/>
        </left>
        <right style="thin">
          <color rgb="FFBF8F00"/>
        </right>
        <top style="thin">
          <color rgb="FFBF8F00"/>
        </top>
        <bottom style="thin">
          <color rgb="FFBF8F00"/>
        </bottom>
        <vertical/>
        <horizontal/>
      </border>
    </dxf>
    <dxf>
      <font>
        <b/>
        <i val="0"/>
        <color theme="8" tint="-0.24994659260841701"/>
      </font>
    </dxf>
    <dxf>
      <font>
        <b/>
        <i val="0"/>
        <color rgb="FFC00000"/>
      </font>
    </dxf>
    <dxf>
      <font>
        <b/>
        <i val="0"/>
        <color theme="4"/>
      </font>
    </dxf>
    <dxf>
      <font>
        <b/>
        <i val="0"/>
        <color theme="3" tint="-0.24994659260841701"/>
      </font>
    </dxf>
    <dxf>
      <font>
        <b/>
        <i val="0"/>
        <color theme="7" tint="-0.24994659260841701"/>
      </font>
    </dxf>
    <dxf>
      <font>
        <b/>
        <i val="0"/>
        <color theme="4" tint="-0.24994659260841701"/>
      </font>
    </dxf>
    <dxf>
      <font>
        <b/>
        <i val="0"/>
        <color theme="9"/>
      </font>
    </dxf>
    <dxf>
      <font>
        <b/>
        <i val="0"/>
        <color theme="9" tint="-0.499984740745262"/>
      </font>
    </dxf>
    <dxf>
      <fill>
        <patternFill>
          <bgColor rgb="FFC00000"/>
        </patternFill>
      </fill>
      <border>
        <left style="thin">
          <color rgb="FFC00000"/>
        </left>
        <right style="thin">
          <color rgb="FFC00000"/>
        </right>
        <top style="thin">
          <color rgb="FFC00000"/>
        </top>
        <bottom style="thin">
          <color rgb="FFC00000"/>
        </bottom>
      </border>
    </dxf>
    <dxf>
      <fill>
        <patternFill>
          <bgColor theme="9"/>
        </patternFill>
      </fill>
      <border>
        <left style="thin">
          <color theme="9"/>
        </left>
        <right style="thin">
          <color theme="9"/>
        </right>
        <top style="thin">
          <color theme="9"/>
        </top>
        <bottom style="thin">
          <color theme="9"/>
        </bottom>
      </border>
    </dxf>
    <dxf>
      <border>
        <left style="thin">
          <color rgb="FFC00000"/>
        </left>
        <right style="thin">
          <color rgb="FFC00000"/>
        </right>
      </border>
    </dxf>
    <dxf>
      <border>
        <left style="thin">
          <color theme="9"/>
        </left>
        <right style="thin">
          <color theme="9"/>
        </right>
      </border>
    </dxf>
    <dxf>
      <border>
        <left style="thin">
          <color rgb="FFC00000"/>
        </left>
        <right style="thin">
          <color rgb="FFC00000"/>
        </right>
        <top style="thin">
          <color rgb="FFC00000"/>
        </top>
      </border>
    </dxf>
    <dxf>
      <border>
        <left style="thin">
          <color theme="9"/>
        </left>
        <right style="thin">
          <color theme="9"/>
        </right>
        <top style="thin">
          <color theme="9"/>
        </top>
      </border>
    </dxf>
    <dxf>
      <fill>
        <patternFill patternType="lightTrellis">
          <fgColor theme="0" tint="-0.34998626667073579"/>
        </patternFill>
      </fill>
    </dxf>
    <dxf>
      <font>
        <b/>
        <i val="0"/>
        <color theme="0"/>
      </font>
      <numFmt numFmtId="0" formatCode="General"/>
      <fill>
        <patternFill>
          <bgColor theme="7"/>
        </patternFill>
      </fill>
    </dxf>
    <dxf>
      <font>
        <color theme="0" tint="-0.34998626667073579"/>
      </font>
      <fill>
        <patternFill patternType="lightTrellis">
          <fgColor theme="0" tint="-0.34998626667073579"/>
        </patternFill>
      </fill>
    </dxf>
    <dxf>
      <fill>
        <patternFill patternType="lightTrellis">
          <fgColor theme="0" tint="-0.34998626667073579"/>
        </patternFill>
      </fill>
    </dxf>
    <dxf>
      <fill>
        <patternFill>
          <bgColor rgb="FFFF0000"/>
        </patternFill>
      </fill>
    </dxf>
    <dxf>
      <fill>
        <patternFill>
          <bgColor rgb="FFFF0000"/>
        </patternFill>
      </fill>
    </dxf>
    <dxf>
      <fill>
        <patternFill patternType="none">
          <bgColor auto="1"/>
        </patternFill>
      </fill>
      <border>
        <left style="thin">
          <color theme="0" tint="-0.14996795556505021"/>
        </left>
        <right style="thin">
          <color theme="0" tint="-0.14996795556505021"/>
        </right>
        <top style="thin">
          <color theme="0" tint="-0.14996795556505021"/>
        </top>
        <bottom style="thin">
          <color theme="0" tint="-0.1499679555650502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1" width="350" row="1">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35BF0CD-42CC-4174-B8D2-6D375C9A759E}">
  <we:reference id="WA200004977" version="1.0.0.10" store="en-au" storeType="OMEX"/>
  <we:alternateReferences/>
  <we:properties>
    <we:property name="Office.AutoShowTaskpaneWithDocument" value="true"/>
  </we:properties>
  <we:bindings>
    <we:binding id="71077bd3-9ee6-4287-ac58-5c11c84c375f|D03_Number_of_Directors" type="matrix" appref="{E7C100DE-1E56-44D6-BABC-50A409D231BB}"/>
    <we:binding id="71077bd3-9ee6-4287-ac58-5c11c84c375f|D03_Number_of_Loans" type="matrix" appref="{343E1163-F1B5-4A3F-AEE7-B8F4C146F3C5}"/>
    <we:binding id="71077bd3-9ee6-4287-ac58-5c11c84c375f|Reconcile_Director1LoanBalance" type="matrix" appref="{B0CCF379-2CF3-4C06-8220-E4DFD9593A02}"/>
    <we:binding id="71077bd3-9ee6-4287-ac58-5c11c84c375f|Reconcile_Director2LoanBalance" type="matrix" appref="{DC036DEC-4300-49CD-A1BD-4F0AD51309DF}"/>
    <we:binding id="71077bd3-9ee6-4287-ac58-5c11c84c375f|Reconcile_Director3LoanBalance" type="matrix" appref="{1E8571C4-C150-400F-926A-98A085AFAE0C}"/>
    <we:binding id="71077bd3-9ee6-4287-ac58-5c11c84c375f|Reconcile_Div7AClosingBalance" type="matrix" appref="{5D3CCC21-20B5-41E4-B61A-1D4777B0ACF6}"/>
    <we:binding id="71077bd3-9ee6-4287-ac58-5c11c84c375f|Reconcile_TotalClosingBalance" type="matrix" appref="{5B4ECD7E-8EE7-4F3E-9179-79D81360A7DB}"/>
    <we:binding id="71077bd3-9ee6-4287-ac58-5c11c84c375f|Reconcile_UPEClosingBalance" type="matrix" appref="{086CC3DF-9E3D-4BD7-9FB7-8FDE8DC6FFB4}"/>
    <we:binding id="8acd997b-c45f-44df-b52a-aa0e56a6969f|G31_LoanBalance" type="matrix" appref="{B0E9F1E3-C798-4678-A7B5-674CF79B0CDD}"/>
    <we:binding id="8acd997b-c45f-44df-b52a-aa0e56a6969f|Reconcile_LoanBalance" type="matrix" appref="{95A8F76D-F23D-4579-B350-8FA691E94260}"/>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_xldudf_WP_NAMEDRANGE</we:customFunctionIds>
        <we:customFunctionIds>_xldudf_WP_NOWSTRING</we:customFunctionIds>
        <we:customFunctionIds>_xldudf_WP_SUMNAMEDRANGE</we:customFunctionIds>
      </we:customFunctionIdList>
    </a:ext>
  </we:extLst>
</we:webextension>
</file>

<file path=xl/worksheets/_rels/sheet1.xml.rels><?xml version="1.0" encoding="UTF-8" standalone="yes"?>
<Relationships xmlns="http://schemas.openxmlformats.org/package/2006/relationships"><Relationship Id="rId3" Type="http://schemas.openxmlformats.org/officeDocument/2006/relationships/customProperty" Target="../customProperty2.bin"/><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ato.gov.au/calculators-and-tools/division-7a-calculator-and-decision-tool/" TargetMode="External"/><Relationship Id="rId2" Type="http://schemas.openxmlformats.org/officeDocument/2006/relationships/hyperlink" Target="https://www.ato.gov.au/business/private-company-benefits---division-7a-dividends/in-detail/division-7a-and-trusts/" TargetMode="External"/><Relationship Id="rId1" Type="http://schemas.openxmlformats.org/officeDocument/2006/relationships/hyperlink" Target="https://www.ato.gov.au/law/view/document?docid=PAC/19360027/109R" TargetMode="External"/><Relationship Id="rId6" Type="http://schemas.openxmlformats.org/officeDocument/2006/relationships/customProperty" Target="../customProperty4.bin"/><Relationship Id="rId5" Type="http://schemas.openxmlformats.org/officeDocument/2006/relationships/customProperty" Target="../customProperty3.bin"/><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ustomProperty" Target="../customProperty6.bin"/><Relationship Id="rId2" Type="http://schemas.openxmlformats.org/officeDocument/2006/relationships/customProperty" Target="../customProperty5.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ustomProperty" Target="../customProperty7.bin"/><Relationship Id="rId2" Type="http://schemas.openxmlformats.org/officeDocument/2006/relationships/printerSettings" Target="../printerSettings/printerSettings4.bin"/><Relationship Id="rId1" Type="http://schemas.openxmlformats.org/officeDocument/2006/relationships/hyperlink" Target="https://www.ato.gov.au/Business/Private-company-benefits---Division-7A-dividends/In-detail/Division-7A---Distributable-surplus/" TargetMode="External"/><Relationship Id="rId4" Type="http://schemas.openxmlformats.org/officeDocument/2006/relationships/customProperty" Target="../customProperty8.bin"/></Relationships>
</file>

<file path=xl/worksheets/_rels/sheet5.xml.rels><?xml version="1.0" encoding="UTF-8" standalone="yes"?>
<Relationships xmlns="http://schemas.openxmlformats.org/package/2006/relationships"><Relationship Id="rId1" Type="http://schemas.openxmlformats.org/officeDocument/2006/relationships/customProperty" Target="../customProperty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F45"/>
  <sheetViews>
    <sheetView showGridLines="0" topLeftCell="A4" workbookViewId="0">
      <selection activeCell="A19" sqref="A19:B19"/>
    </sheetView>
  </sheetViews>
  <sheetFormatPr defaultColWidth="9" defaultRowHeight="14.25" customHeight="1"/>
  <cols>
    <col min="1" max="1" width="11.5703125" customWidth="1"/>
    <col min="2" max="2" width="77" customWidth="1"/>
    <col min="3" max="8" width="8.85546875" customWidth="1"/>
  </cols>
  <sheetData>
    <row r="2" ht="14.85" customHeight="1"/>
    <row r="3" ht="14.85" customHeight="1"/>
    <row r="17" spans="1:6" ht="22.5" customHeight="1">
      <c r="A17" s="218" t="str" cm="1">
        <f t="array" ref="A17">IFERROR(Cl_Name, "")</f>
        <v>Springrange Holdings Pty Ltd</v>
      </c>
      <c r="B17" s="218"/>
      <c r="C17" s="218"/>
      <c r="D17" s="218"/>
      <c r="E17" s="218"/>
      <c r="F17" s="218"/>
    </row>
    <row r="19" spans="1:6" ht="14.25" customHeight="1">
      <c r="A19" s="220" t="s">
        <v>4</v>
      </c>
      <c r="B19" s="220" t="s">
        <v>4</v>
      </c>
    </row>
    <row r="20" spans="1:6" ht="14.25" customHeight="1">
      <c r="A20" s="219" cm="1">
        <f t="array" ref="A20">IFERROR(PeriodEndDate,"")</f>
        <v>45473</v>
      </c>
      <c r="B20" s="219"/>
    </row>
    <row r="36" spans="1:2" ht="14.25" customHeight="1">
      <c r="A36" t="str" cm="1">
        <f t="array" ref="A36">IFERROR(Firm_Name,"")</f>
        <v>Main Office</v>
      </c>
    </row>
    <row r="38" spans="1:2" ht="14.25" customHeight="1">
      <c r="A38" s="1" t="s">
        <v>3</v>
      </c>
      <c r="B38" t="str">
        <f t="array" ref="B38">IFERROR(Firm_Partner,"")</f>
        <v>Fleur Parsons</v>
      </c>
    </row>
    <row r="39" spans="1:2" ht="14.25" customHeight="1">
      <c r="A39" s="1" t="s">
        <v>2</v>
      </c>
      <c r="B39" t="str" cm="1">
        <f t="array" ref="B39">IFERROR(Firm_Manager,"")</f>
        <v>Fleur Parsons</v>
      </c>
    </row>
    <row r="40" spans="1:2" ht="14.25" customHeight="1">
      <c r="A40" s="1" t="s">
        <v>0</v>
      </c>
      <c r="B40" t="str">
        <f t="array" ref="B40">IFERROR(Firm_Reviewer,"")</f>
        <v>Fleur Parsons</v>
      </c>
    </row>
    <row r="41" spans="1:2" ht="14.25" customHeight="1">
      <c r="A41" s="1" t="s">
        <v>1</v>
      </c>
      <c r="B41" t="str">
        <f t="array" ref="B41">IFERROR(Firm_Preparer,"")</f>
        <v>Callum Matchett</v>
      </c>
    </row>
    <row r="44" spans="1:2" ht="14.85" customHeight="1"/>
    <row r="45" spans="1:2" ht="14.85" customHeight="1"/>
  </sheetData>
  <mergeCells count="5">
    <mergeCell ref="A17:B17"/>
    <mergeCell ref="C17:D17"/>
    <mergeCell ref="E17:F17"/>
    <mergeCell ref="A20:B20"/>
    <mergeCell ref="A19:B19"/>
  </mergeCells>
  <pageMargins left="0.7" right="0.7" top="0.75" bottom="0.75" header="0.3" footer="0.3"/>
  <pageSetup orientation="portrait" r:id="rId1"/>
  <customProperties>
    <customPr name="SheetId" r:id="rId2"/>
    <customPr name="SheetName" r:id="rId3"/>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240063-403E-4E05-BCE7-E78717498E5A}">
  <dimension ref="A1:P165"/>
  <sheetViews>
    <sheetView showGridLines="0" topLeftCell="A93" zoomScaleNormal="100" zoomScaleSheetLayoutView="70" workbookViewId="0">
      <selection activeCell="I99" sqref="I99"/>
    </sheetView>
  </sheetViews>
  <sheetFormatPr defaultRowHeight="15"/>
  <cols>
    <col min="1" max="1" width="4.28515625" style="77" customWidth="1"/>
    <col min="2" max="2" width="1.42578125" style="77" customWidth="1"/>
    <col min="3" max="4" width="15.7109375" style="77" hidden="1" customWidth="1"/>
    <col min="5" max="5" width="13" style="77" customWidth="1"/>
    <col min="6" max="6" width="15.7109375" style="77" customWidth="1"/>
    <col min="7" max="10" width="17.7109375" style="77" customWidth="1"/>
    <col min="11" max="12" width="18.140625" style="77" customWidth="1"/>
    <col min="13" max="13" width="1.42578125" style="77" customWidth="1"/>
    <col min="14" max="14" width="4.28515625" style="77" customWidth="1"/>
    <col min="15" max="16" width="15.7109375" style="77" customWidth="1"/>
    <col min="17" max="17" width="9.140625" style="77"/>
    <col min="18" max="18" width="13.7109375" style="77" bestFit="1" customWidth="1"/>
    <col min="19" max="16384" width="9.140625" style="77"/>
  </cols>
  <sheetData>
    <row r="1" spans="1:16" ht="22.5" hidden="1" customHeight="1">
      <c r="D1" s="189" t="s">
        <v>142</v>
      </c>
      <c r="G1" s="189" t="s">
        <v>186</v>
      </c>
      <c r="H1" s="189" t="s">
        <v>147</v>
      </c>
      <c r="I1" s="189" t="s">
        <v>185</v>
      </c>
      <c r="J1" s="189" t="s">
        <v>184</v>
      </c>
      <c r="K1" s="189" t="s">
        <v>101</v>
      </c>
      <c r="L1" s="189" t="s">
        <v>183</v>
      </c>
    </row>
    <row r="2" spans="1:16" ht="24" hidden="1" customHeight="1">
      <c r="C2" s="177"/>
      <c r="D2" s="177"/>
      <c r="E2" s="188" t="s">
        <v>115</v>
      </c>
      <c r="F2" s="187" t="s">
        <v>182</v>
      </c>
      <c r="G2" s="177"/>
      <c r="H2" s="177"/>
      <c r="I2" s="186"/>
      <c r="J2" s="185"/>
      <c r="K2" s="186" t="s">
        <v>113</v>
      </c>
      <c r="L2" s="185" t="str">
        <f>IFERROR(Jurisdiction,"AU")</f>
        <v>AU</v>
      </c>
    </row>
    <row r="3" spans="1:16" ht="7.5" customHeight="1">
      <c r="C3" s="177"/>
      <c r="D3" s="177"/>
      <c r="E3" s="188"/>
      <c r="F3" s="187"/>
      <c r="G3" s="177"/>
      <c r="H3" s="177"/>
      <c r="I3" s="186"/>
      <c r="J3" s="185"/>
    </row>
    <row r="4" spans="1:16" ht="24.95" customHeight="1">
      <c r="C4" s="177"/>
      <c r="D4" s="177"/>
      <c r="E4" s="246" t="s">
        <v>181</v>
      </c>
      <c r="F4" s="246"/>
      <c r="G4" s="246"/>
      <c r="H4" s="246"/>
      <c r="I4" s="246"/>
      <c r="K4"/>
      <c r="L4" s="190" t="s">
        <v>116</v>
      </c>
      <c r="O4" s="184" t="s">
        <v>110</v>
      </c>
      <c r="P4" s="183" t="s">
        <v>180</v>
      </c>
    </row>
    <row r="5" spans="1:16" ht="22.5" customHeight="1">
      <c r="B5" s="177"/>
      <c r="C5" s="177"/>
      <c r="D5" s="177"/>
      <c r="E5" s="247" t="str">
        <f>_xlfn.TEXTJOIN(" ",1,IFERROR(_xlfn.SINGLE(Cl_Name),"Client Name"),IF(IFERROR(_xlfn.SINGLE(Cl_Code),"")="","","("&amp;_xlfn.SINGLE(Cl_Code)&amp;")"))</f>
        <v>Springrange Holdings Pty Ltd (MuM001)</v>
      </c>
      <c r="F5" s="247"/>
      <c r="G5" s="247"/>
      <c r="H5" s="247"/>
      <c r="I5" s="247"/>
      <c r="K5" s="179"/>
      <c r="L5" s="182" t="str">
        <f>IF(ISBLANK(_xlfn.SINGLE(Tm_TBAccount)),_xlfn.TEXTJOIN("-",1,K7:L7),TEXT(_xlfn.SINGLE(Tm_TBAccount),"0"))</f>
        <v/>
      </c>
    </row>
    <row r="6" spans="1:16" ht="22.5" customHeight="1">
      <c r="B6" s="177"/>
      <c r="C6" s="177"/>
      <c r="D6" s="177"/>
      <c r="E6" s="239">
        <f>IFERROR(_xlfn.SINGLE(PeriodEndDate),DATE(2024,6,30))</f>
        <v>45473</v>
      </c>
      <c r="F6" s="240"/>
      <c r="G6" s="240"/>
      <c r="H6" s="240"/>
      <c r="K6" s="179"/>
      <c r="L6" s="181" t="str">
        <f>J53</f>
        <v>Out of Balance</v>
      </c>
      <c r="M6" s="180">
        <f>IFERROR(_xlfn.XLOOKUP("58fea58e-89b0-45a0-8ff2-1b94149fbb67",RecordInfo.RecordId,RecordInfo.Tolerances),0)</f>
        <v>0.01</v>
      </c>
      <c r="O6" s="244" t="s">
        <v>179</v>
      </c>
      <c r="P6" s="245"/>
    </row>
    <row r="7" spans="1:16" ht="17.25" hidden="1" customHeight="1">
      <c r="B7" s="177"/>
      <c r="C7" s="177"/>
      <c r="D7" s="177"/>
      <c r="E7" s="178"/>
      <c r="F7" s="177"/>
      <c r="G7" s="177"/>
      <c r="H7" s="177"/>
      <c r="J7" s="176"/>
      <c r="K7" s="175"/>
      <c r="L7" s="175"/>
    </row>
    <row r="8" spans="1:16" ht="7.5" customHeight="1">
      <c r="B8" s="71"/>
      <c r="C8" s="71"/>
      <c r="D8" s="71"/>
      <c r="E8" s="71"/>
      <c r="F8" s="71"/>
      <c r="G8" s="71"/>
      <c r="H8" s="71"/>
      <c r="I8" s="174"/>
      <c r="J8" s="174"/>
      <c r="K8" s="174"/>
      <c r="L8" s="174"/>
      <c r="M8" s="174"/>
    </row>
    <row r="9" spans="1:16" ht="7.5" customHeight="1"/>
    <row r="10" spans="1:16" ht="30" customHeight="1">
      <c r="A10" s="173" t="str">
        <f>IF(SUBTOTAL(103,A11),"-","+")</f>
        <v>+</v>
      </c>
      <c r="C10" s="241" t="s">
        <v>178</v>
      </c>
      <c r="D10" s="241"/>
      <c r="E10" s="241"/>
      <c r="F10" s="241"/>
      <c r="G10" s="241"/>
      <c r="H10" s="241"/>
      <c r="I10" s="241"/>
      <c r="J10" s="241"/>
      <c r="K10" s="241"/>
      <c r="L10" s="241"/>
    </row>
    <row r="11" spans="1:16" ht="17.25" hidden="1" customHeight="1">
      <c r="A11" s="77" t="s">
        <v>59</v>
      </c>
      <c r="E11" s="172" t="s">
        <v>177</v>
      </c>
      <c r="F11" s="226" t="s">
        <v>176</v>
      </c>
      <c r="G11" s="226"/>
      <c r="H11" s="226"/>
      <c r="I11" s="226"/>
      <c r="J11" s="226"/>
      <c r="K11" s="226"/>
      <c r="L11" s="226"/>
    </row>
    <row r="12" spans="1:16" ht="17.25" hidden="1" customHeight="1">
      <c r="E12" s="171"/>
      <c r="F12" s="226" t="s">
        <v>175</v>
      </c>
      <c r="G12" s="226"/>
      <c r="H12" s="226"/>
      <c r="I12" s="226"/>
      <c r="J12" s="226"/>
      <c r="K12" s="226"/>
      <c r="L12" s="226"/>
    </row>
    <row r="13" spans="1:16" ht="17.25" hidden="1" customHeight="1">
      <c r="E13" s="171"/>
      <c r="F13" s="226" t="s">
        <v>174</v>
      </c>
      <c r="G13" s="226"/>
      <c r="H13" s="226"/>
      <c r="I13" s="226"/>
      <c r="J13" s="226"/>
      <c r="K13" s="226"/>
      <c r="L13" s="226"/>
    </row>
    <row r="14" spans="1:16" ht="24.95" customHeight="1"/>
    <row r="15" spans="1:16" ht="22.5" customHeight="1">
      <c r="A15" s="118" t="str">
        <f>IF(SUBTOTAL(103,A16),"-","+")</f>
        <v>+</v>
      </c>
      <c r="B15" s="231" t="s">
        <v>173</v>
      </c>
      <c r="C15" s="232"/>
      <c r="D15" s="232"/>
      <c r="E15" s="232"/>
      <c r="F15" s="232"/>
      <c r="G15" s="232"/>
      <c r="H15" s="233"/>
      <c r="I15" s="117"/>
      <c r="J15" s="117"/>
      <c r="K15" s="117"/>
      <c r="L15" s="117"/>
    </row>
    <row r="16" spans="1:16" ht="7.5" hidden="1" customHeight="1">
      <c r="A16" s="77" t="s">
        <v>59</v>
      </c>
      <c r="B16" s="128"/>
      <c r="C16" s="127"/>
      <c r="D16" s="127"/>
      <c r="E16" s="127"/>
      <c r="F16" s="127"/>
      <c r="G16" s="127"/>
      <c r="H16" s="127"/>
      <c r="I16" s="127"/>
      <c r="J16" s="127"/>
      <c r="K16" s="127"/>
      <c r="L16" s="127"/>
      <c r="M16" s="126"/>
    </row>
    <row r="17" spans="2:16" ht="17.25" hidden="1" customHeight="1">
      <c r="B17" s="103"/>
      <c r="G17" s="122">
        <v>41091</v>
      </c>
      <c r="H17" s="167" t="s">
        <v>172</v>
      </c>
      <c r="I17" s="122">
        <v>41455</v>
      </c>
      <c r="J17" s="168">
        <v>7.0499999999999993E-2</v>
      </c>
      <c r="M17" s="99"/>
    </row>
    <row r="18" spans="2:16" ht="17.25" hidden="1" customHeight="1">
      <c r="B18" s="103"/>
      <c r="G18" s="122">
        <v>41456</v>
      </c>
      <c r="H18" s="167" t="s">
        <v>172</v>
      </c>
      <c r="I18" s="122">
        <v>41820</v>
      </c>
      <c r="J18" s="168">
        <v>6.2E-2</v>
      </c>
      <c r="M18" s="99"/>
    </row>
    <row r="19" spans="2:16" ht="17.25" hidden="1" customHeight="1">
      <c r="B19" s="103"/>
      <c r="G19" s="122">
        <v>41821</v>
      </c>
      <c r="H19" s="167" t="s">
        <v>172</v>
      </c>
      <c r="I19" s="122">
        <v>42185</v>
      </c>
      <c r="J19" s="168">
        <v>5.9499999999999997E-2</v>
      </c>
      <c r="M19" s="99"/>
      <c r="N19" s="170"/>
    </row>
    <row r="20" spans="2:16" ht="17.25" hidden="1" customHeight="1">
      <c r="B20" s="103"/>
      <c r="G20" s="122">
        <v>42186</v>
      </c>
      <c r="H20" s="167" t="s">
        <v>172</v>
      </c>
      <c r="I20" s="122">
        <v>42551</v>
      </c>
      <c r="J20" s="168">
        <v>5.45E-2</v>
      </c>
      <c r="M20" s="99"/>
      <c r="N20" s="158"/>
    </row>
    <row r="21" spans="2:16" ht="17.25" hidden="1" customHeight="1">
      <c r="B21" s="103"/>
      <c r="G21" s="122">
        <v>42552</v>
      </c>
      <c r="H21" s="167" t="s">
        <v>172</v>
      </c>
      <c r="I21" s="122">
        <v>42916</v>
      </c>
      <c r="J21" s="168">
        <v>5.3999999999999999E-2</v>
      </c>
      <c r="M21" s="99"/>
      <c r="N21" s="158"/>
    </row>
    <row r="22" spans="2:16" ht="17.25" hidden="1" customHeight="1">
      <c r="B22" s="103"/>
      <c r="G22" s="122">
        <v>42917</v>
      </c>
      <c r="H22" s="167" t="s">
        <v>172</v>
      </c>
      <c r="I22" s="122">
        <v>43281</v>
      </c>
      <c r="J22" s="168">
        <v>5.2999999999999999E-2</v>
      </c>
      <c r="M22" s="99"/>
      <c r="N22" s="169"/>
    </row>
    <row r="23" spans="2:16" ht="17.25" hidden="1" customHeight="1">
      <c r="B23" s="103"/>
      <c r="G23" s="122">
        <v>43282</v>
      </c>
      <c r="H23" s="167" t="s">
        <v>172</v>
      </c>
      <c r="I23" s="122">
        <v>43646</v>
      </c>
      <c r="J23" s="168">
        <v>5.1999999999999998E-2</v>
      </c>
      <c r="M23" s="99"/>
      <c r="N23" s="158"/>
    </row>
    <row r="24" spans="2:16" ht="17.25" hidden="1" customHeight="1">
      <c r="B24" s="103"/>
      <c r="G24" s="122">
        <v>43647</v>
      </c>
      <c r="H24" s="167" t="s">
        <v>172</v>
      </c>
      <c r="I24" s="122">
        <v>44012</v>
      </c>
      <c r="J24" s="166">
        <v>5.3699999999999998E-2</v>
      </c>
      <c r="M24" s="99"/>
      <c r="N24" s="158"/>
    </row>
    <row r="25" spans="2:16" ht="17.25" hidden="1" customHeight="1">
      <c r="B25" s="103"/>
      <c r="G25" s="122">
        <v>44013</v>
      </c>
      <c r="H25" s="167" t="s">
        <v>172</v>
      </c>
      <c r="I25" s="122">
        <v>44377</v>
      </c>
      <c r="J25" s="166">
        <v>4.5199999999999997E-2</v>
      </c>
      <c r="M25" s="99"/>
      <c r="N25" s="158"/>
    </row>
    <row r="26" spans="2:16" ht="17.25" hidden="1" customHeight="1">
      <c r="B26" s="103"/>
      <c r="G26" s="122">
        <v>44378</v>
      </c>
      <c r="H26" s="167" t="s">
        <v>172</v>
      </c>
      <c r="I26" s="122">
        <v>44742</v>
      </c>
      <c r="J26" s="166">
        <v>4.5199999999999997E-2</v>
      </c>
      <c r="M26" s="99"/>
      <c r="N26" s="158"/>
    </row>
    <row r="27" spans="2:16" ht="17.25" hidden="1" customHeight="1">
      <c r="B27" s="103"/>
      <c r="G27" s="122">
        <v>44743</v>
      </c>
      <c r="H27" s="167" t="s">
        <v>172</v>
      </c>
      <c r="I27" s="122">
        <v>45107</v>
      </c>
      <c r="J27" s="166">
        <v>4.7699999999999999E-2</v>
      </c>
      <c r="M27" s="99"/>
      <c r="N27" s="158"/>
    </row>
    <row r="28" spans="2:16" ht="17.25" hidden="1" customHeight="1">
      <c r="B28" s="103"/>
      <c r="G28" s="122">
        <v>45108</v>
      </c>
      <c r="H28" s="167" t="s">
        <v>172</v>
      </c>
      <c r="I28" s="122">
        <v>45473</v>
      </c>
      <c r="J28" s="166">
        <v>8.2699999999999996E-2</v>
      </c>
      <c r="M28" s="99"/>
      <c r="N28" s="158"/>
    </row>
    <row r="29" spans="2:16" ht="17.25" hidden="1" customHeight="1">
      <c r="B29" s="103"/>
      <c r="G29" s="122">
        <v>45474</v>
      </c>
      <c r="H29" s="167" t="s">
        <v>172</v>
      </c>
      <c r="I29" s="122">
        <v>45838</v>
      </c>
      <c r="J29" s="166">
        <v>8.77E-2</v>
      </c>
      <c r="M29" s="99"/>
      <c r="N29" s="158"/>
    </row>
    <row r="30" spans="2:16" ht="7.5" hidden="1" customHeight="1">
      <c r="B30" s="96"/>
      <c r="C30" s="95"/>
      <c r="D30" s="95"/>
      <c r="E30" s="95"/>
      <c r="F30" s="165"/>
      <c r="G30" s="164"/>
      <c r="H30" s="95"/>
      <c r="I30" s="163"/>
      <c r="J30" s="95"/>
      <c r="K30" s="95"/>
      <c r="L30" s="95"/>
      <c r="M30" s="94"/>
      <c r="N30" s="158"/>
    </row>
    <row r="31" spans="2:16" ht="22.5" customHeight="1"/>
    <row r="32" spans="2:16" ht="22.5" customHeight="1">
      <c r="B32" s="234" t="s">
        <v>171</v>
      </c>
      <c r="C32" s="235"/>
      <c r="D32" s="235"/>
      <c r="E32" s="235"/>
      <c r="F32" s="235"/>
      <c r="G32" s="235"/>
      <c r="H32" s="236"/>
      <c r="O32" s="229" t="s">
        <v>170</v>
      </c>
      <c r="P32" s="230"/>
    </row>
    <row r="33" spans="2:16" ht="7.5" customHeight="1">
      <c r="B33" s="162"/>
      <c r="C33" s="161"/>
      <c r="D33" s="161"/>
      <c r="E33" s="161"/>
      <c r="F33" s="161"/>
      <c r="G33" s="161"/>
      <c r="H33" s="161"/>
      <c r="I33" s="161"/>
      <c r="J33" s="161"/>
      <c r="K33" s="161"/>
      <c r="L33" s="161"/>
      <c r="M33" s="160"/>
    </row>
    <row r="34" spans="2:16" ht="17.25" customHeight="1">
      <c r="B34" s="103"/>
      <c r="E34" s="159" t="s">
        <v>169</v>
      </c>
      <c r="F34" s="255" t="s">
        <v>195</v>
      </c>
      <c r="G34" s="256"/>
      <c r="H34" s="256"/>
      <c r="I34" s="256"/>
      <c r="J34" s="257"/>
      <c r="K34" s="242"/>
      <c r="L34" s="242"/>
      <c r="M34" s="243"/>
      <c r="N34" s="158"/>
      <c r="O34" s="98"/>
      <c r="P34" s="97"/>
    </row>
    <row r="35" spans="2:16" ht="17.25" customHeight="1">
      <c r="B35" s="103"/>
      <c r="E35" s="222" t="s">
        <v>168</v>
      </c>
      <c r="F35" s="222"/>
      <c r="G35" s="222"/>
      <c r="H35" s="222"/>
      <c r="I35" s="143"/>
      <c r="J35" s="156" t="s">
        <v>196</v>
      </c>
      <c r="K35" s="155"/>
      <c r="L35" s="155"/>
      <c r="M35" s="99"/>
      <c r="N35" s="158"/>
      <c r="O35" s="98"/>
      <c r="P35" s="97"/>
    </row>
    <row r="36" spans="2:16" ht="17.25" customHeight="1">
      <c r="B36" s="103"/>
      <c r="E36" s="222" t="s">
        <v>167</v>
      </c>
      <c r="F36" s="222"/>
      <c r="G36" s="222"/>
      <c r="H36" s="222"/>
      <c r="I36" s="143"/>
      <c r="J36" s="156" t="s">
        <v>197</v>
      </c>
      <c r="K36" s="155"/>
      <c r="L36" s="155"/>
      <c r="M36" s="99"/>
      <c r="N36" s="129"/>
      <c r="O36" s="98"/>
      <c r="P36" s="97"/>
    </row>
    <row r="37" spans="2:16" ht="17.25" customHeight="1">
      <c r="B37" s="103"/>
      <c r="E37" s="222" t="s">
        <v>166</v>
      </c>
      <c r="F37" s="222"/>
      <c r="G37" s="222"/>
      <c r="H37" s="222"/>
      <c r="I37" s="143"/>
      <c r="J37" s="156">
        <v>2023</v>
      </c>
      <c r="K37" s="155"/>
      <c r="L37" s="155"/>
      <c r="M37" s="99"/>
      <c r="N37" s="129"/>
      <c r="O37" s="98"/>
      <c r="P37" s="97"/>
    </row>
    <row r="38" spans="2:16" ht="17.25" hidden="1" customHeight="1">
      <c r="B38" s="103"/>
      <c r="E38" s="222" t="s">
        <v>133</v>
      </c>
      <c r="F38" s="222"/>
      <c r="G38" s="222"/>
      <c r="H38" s="222"/>
      <c r="I38" s="143"/>
      <c r="J38" s="157">
        <f>IF(MOD(YEAR(E6),4)=0,366,365)</f>
        <v>366</v>
      </c>
      <c r="K38" s="155"/>
      <c r="L38" s="155"/>
      <c r="M38" s="99"/>
      <c r="N38" s="129"/>
      <c r="O38" s="98"/>
      <c r="P38" s="97"/>
    </row>
    <row r="39" spans="2:16" ht="17.25" customHeight="1">
      <c r="B39" s="103"/>
      <c r="E39" s="222" t="s">
        <v>165</v>
      </c>
      <c r="F39" s="222"/>
      <c r="G39" s="222"/>
      <c r="H39" s="222"/>
      <c r="I39" s="143"/>
      <c r="J39" s="156">
        <v>6</v>
      </c>
      <c r="L39" s="155"/>
      <c r="M39" s="99"/>
      <c r="N39" s="129"/>
      <c r="O39" s="98"/>
      <c r="P39" s="97"/>
    </row>
    <row r="40" spans="2:16" ht="17.25" customHeight="1">
      <c r="B40" s="103"/>
      <c r="E40" s="222" t="s">
        <v>164</v>
      </c>
      <c r="F40" s="222"/>
      <c r="G40" s="222"/>
      <c r="H40" s="222"/>
      <c r="I40" s="143"/>
      <c r="J40" s="154">
        <f>IF(YEAR(E6)=J37,"Year of Loan",MAX(0,$J$39-(YEAR($E$6)-$J$37)+1))</f>
        <v>6</v>
      </c>
      <c r="L40" s="153"/>
      <c r="M40" s="99"/>
      <c r="N40" s="129"/>
      <c r="O40" s="98"/>
      <c r="P40" s="97"/>
    </row>
    <row r="41" spans="2:16" ht="17.25" customHeight="1">
      <c r="B41" s="103"/>
      <c r="E41" s="222" t="str">
        <f>IF(J39=J40,"Sum of the Loans Made in FY"&amp;J37&amp;" Year Before any Repayments were Made","Amount of the Loan Not Repaid by the End of the Prior Year")</f>
        <v>Sum of the Loans Made in FY2023 Year Before any Repayments were Made</v>
      </c>
      <c r="F41" s="222"/>
      <c r="G41" s="222"/>
      <c r="H41" s="222"/>
      <c r="I41" s="137"/>
      <c r="J41" s="152">
        <v>10000</v>
      </c>
      <c r="K41" s="151"/>
      <c r="L41" s="151"/>
      <c r="M41" s="99"/>
      <c r="N41" s="129"/>
      <c r="O41" s="98"/>
      <c r="P41" s="97"/>
    </row>
    <row r="42" spans="2:16" ht="17.25" customHeight="1">
      <c r="B42" s="103"/>
      <c r="E42" s="222" t="s">
        <v>163</v>
      </c>
      <c r="F42" s="222"/>
      <c r="G42" s="222"/>
      <c r="H42" s="222"/>
      <c r="I42" s="150"/>
      <c r="J42" s="149"/>
      <c r="M42" s="99"/>
      <c r="N42" s="129"/>
      <c r="O42" s="98"/>
      <c r="P42" s="97"/>
    </row>
    <row r="43" spans="2:16" ht="30" customHeight="1">
      <c r="B43" s="103"/>
      <c r="E43" s="222" t="s">
        <v>162</v>
      </c>
      <c r="F43" s="222"/>
      <c r="G43" s="222"/>
      <c r="H43" s="222"/>
      <c r="I43" s="143"/>
      <c r="J43" s="148">
        <f>IF($E$6="",0,VLOOKUP($E$6,Interest_Rate,4))</f>
        <v>8.2699999999999996E-2</v>
      </c>
      <c r="K43" s="223" t="s">
        <v>161</v>
      </c>
      <c r="L43" s="224"/>
      <c r="M43" s="99"/>
      <c r="N43" s="129"/>
      <c r="O43" s="98"/>
      <c r="P43" s="97"/>
    </row>
    <row r="44" spans="2:16" ht="17.25" customHeight="1">
      <c r="B44" s="103"/>
      <c r="E44" s="222" t="s">
        <v>160</v>
      </c>
      <c r="F44" s="222"/>
      <c r="G44" s="222"/>
      <c r="H44" s="222"/>
      <c r="I44" s="143"/>
      <c r="J44" s="53">
        <f>IF(J40=J40,ROUNDDOWN(IF(OR($J$43=0,$J$45&lt;=0,$J$40=0,$J$41&lt;=0),0,($J$45*$J$43)/(1-(1/(1+$J$43)^$J$40))),2),"")</f>
        <v>2180.9</v>
      </c>
      <c r="M44" s="99"/>
      <c r="N44" s="129"/>
      <c r="O44" s="98"/>
      <c r="P44" s="97"/>
    </row>
    <row r="45" spans="2:16" ht="17.25" customHeight="1">
      <c r="B45" s="103"/>
      <c r="E45" s="222" t="s">
        <v>159</v>
      </c>
      <c r="F45" s="222"/>
      <c r="G45" s="222"/>
      <c r="H45" s="222"/>
      <c r="I45" s="143"/>
      <c r="J45" s="53">
        <f>IF(J40="Year of Loan",0,IF(J39=J40,$J$41-SUMIF($F$63:$F$88,"&lt;"&amp;$J$42,$H$63:$H$88),J41))</f>
        <v>10000</v>
      </c>
      <c r="M45" s="99"/>
      <c r="N45" s="129"/>
      <c r="O45" s="98"/>
      <c r="P45" s="97"/>
    </row>
    <row r="46" spans="2:16" ht="16.899999999999999" customHeight="1">
      <c r="B46" s="103"/>
      <c r="E46" s="222" t="s">
        <v>158</v>
      </c>
      <c r="F46" s="222"/>
      <c r="G46" s="222"/>
      <c r="H46" s="222"/>
      <c r="I46" s="143"/>
      <c r="J46" s="53">
        <f>IF(J40="Year of Loan",(G90-H90),ROUNDDOWN($J$41-$H$90+$I$90,2))</f>
        <v>10827</v>
      </c>
      <c r="K46" s="237" t="str">
        <f>IF(J46=0,"",IF(J46&lt;=0.01,"Credit Account",""))</f>
        <v/>
      </c>
      <c r="L46" s="238"/>
      <c r="M46" s="99"/>
      <c r="N46" s="129"/>
      <c r="O46" s="98"/>
      <c r="P46" s="97"/>
    </row>
    <row r="47" spans="2:16" ht="7.5" customHeight="1">
      <c r="B47" s="103"/>
      <c r="E47" s="222"/>
      <c r="F47" s="222"/>
      <c r="G47" s="222"/>
      <c r="H47" s="222"/>
      <c r="I47" s="137"/>
      <c r="J47" s="147"/>
      <c r="K47" s="146"/>
      <c r="M47" s="99"/>
      <c r="N47" s="129"/>
      <c r="O47" s="145"/>
      <c r="P47" s="144"/>
    </row>
    <row r="48" spans="2:16" ht="17.25" customHeight="1">
      <c r="B48" s="103"/>
      <c r="E48" s="222" t="s">
        <v>157</v>
      </c>
      <c r="F48" s="222"/>
      <c r="G48" s="222"/>
      <c r="H48" s="222"/>
      <c r="I48" s="143"/>
      <c r="J48" s="53">
        <f>IF(J40="Year of Loan", "",G90)</f>
        <v>0</v>
      </c>
      <c r="K48" s="227" t="s">
        <v>156</v>
      </c>
      <c r="L48" s="228"/>
      <c r="M48" s="99"/>
      <c r="N48" s="129"/>
      <c r="O48" s="98"/>
      <c r="P48" s="97"/>
    </row>
    <row r="49" spans="1:16" ht="17.25" customHeight="1">
      <c r="B49" s="103"/>
      <c r="E49" s="222"/>
      <c r="F49" s="222"/>
      <c r="G49" s="222"/>
      <c r="H49" s="222"/>
      <c r="I49" s="137"/>
      <c r="J49" s="142"/>
      <c r="K49" s="135"/>
      <c r="L49" s="134"/>
      <c r="M49" s="99"/>
      <c r="N49" s="129"/>
      <c r="O49" s="141"/>
      <c r="P49" s="140"/>
    </row>
    <row r="50" spans="1:16" ht="17.25" customHeight="1">
      <c r="B50" s="103"/>
      <c r="E50" s="221" t="s">
        <v>155</v>
      </c>
      <c r="F50" s="221"/>
      <c r="G50" s="221"/>
      <c r="H50" s="221"/>
      <c r="I50" s="137"/>
      <c r="J50" s="139">
        <f>SingleCB_1</f>
        <v>10827</v>
      </c>
      <c r="K50" s="135"/>
      <c r="L50" s="134"/>
      <c r="M50" s="99"/>
      <c r="N50" s="129"/>
      <c r="O50" s="98"/>
      <c r="P50" s="97"/>
    </row>
    <row r="51" spans="1:16" ht="17.25" customHeight="1">
      <c r="B51" s="103"/>
      <c r="E51" s="221" t="s">
        <v>154</v>
      </c>
      <c r="F51" s="221"/>
      <c r="G51" s="221"/>
      <c r="H51" s="221"/>
      <c r="J51" s="138">
        <v>100000</v>
      </c>
      <c r="K51" s="135"/>
      <c r="L51" s="134"/>
      <c r="M51" s="99"/>
      <c r="N51" s="129"/>
      <c r="O51" s="98"/>
      <c r="P51" s="97"/>
    </row>
    <row r="52" spans="1:16" ht="17.25" customHeight="1">
      <c r="B52" s="103"/>
      <c r="E52" s="221" t="s">
        <v>153</v>
      </c>
      <c r="F52" s="221"/>
      <c r="G52" s="221"/>
      <c r="H52" s="221"/>
      <c r="I52" s="137"/>
      <c r="J52" s="136">
        <f>IF(AND(J50=0,J51=0),"",J51-J50)</f>
        <v>89173</v>
      </c>
      <c r="K52" s="135"/>
      <c r="L52" s="134"/>
      <c r="M52" s="99"/>
      <c r="N52" s="129"/>
      <c r="O52" s="98"/>
      <c r="P52" s="97"/>
    </row>
    <row r="53" spans="1:16" ht="7.5" customHeight="1">
      <c r="B53" s="133"/>
      <c r="C53" s="131"/>
      <c r="D53" s="131"/>
      <c r="E53" s="131"/>
      <c r="F53" s="131"/>
      <c r="G53" s="131"/>
      <c r="H53" s="131"/>
      <c r="I53" s="131"/>
      <c r="J53" s="132" t="str" cm="1">
        <f t="array" ref="J53">IF(J52="","Pending",IF(ABS(J52)&gt;Tm_Tolerance,"Out of Balance","Reconciled"))</f>
        <v>Out of Balance</v>
      </c>
      <c r="K53" s="131"/>
      <c r="L53" s="131"/>
      <c r="M53" s="130"/>
      <c r="N53" s="129"/>
    </row>
    <row r="54" spans="1:16" ht="22.5" customHeight="1">
      <c r="N54" s="129"/>
    </row>
    <row r="55" spans="1:16" ht="22.5" customHeight="1">
      <c r="A55" s="118" t="str">
        <f>IF(SUBTOTAL(103,A56),"-","+")</f>
        <v>-</v>
      </c>
      <c r="B55" s="231" t="s">
        <v>152</v>
      </c>
      <c r="C55" s="232"/>
      <c r="D55" s="232"/>
      <c r="E55" s="232"/>
      <c r="F55" s="232"/>
      <c r="G55" s="232"/>
      <c r="H55" s="233"/>
    </row>
    <row r="56" spans="1:16" ht="7.5" customHeight="1">
      <c r="A56" s="77" t="s">
        <v>59</v>
      </c>
      <c r="B56" s="128"/>
      <c r="C56" s="127"/>
      <c r="D56" s="127"/>
      <c r="E56" s="127"/>
      <c r="F56" s="127"/>
      <c r="G56" s="127"/>
      <c r="H56" s="127"/>
      <c r="I56" s="127"/>
      <c r="J56" s="127"/>
      <c r="K56" s="127"/>
      <c r="L56" s="127"/>
      <c r="M56" s="126"/>
    </row>
    <row r="57" spans="1:16" ht="17.25" customHeight="1">
      <c r="B57" s="103"/>
      <c r="E57" s="250" t="s">
        <v>151</v>
      </c>
      <c r="F57" s="251"/>
      <c r="G57" s="251"/>
      <c r="H57" s="251"/>
      <c r="I57" s="251"/>
      <c r="J57" s="251"/>
      <c r="K57" s="251"/>
      <c r="L57" s="251"/>
      <c r="M57" s="111"/>
    </row>
    <row r="58" spans="1:16" ht="30" customHeight="1">
      <c r="B58" s="103"/>
      <c r="E58" s="225" t="s">
        <v>150</v>
      </c>
      <c r="F58" s="225"/>
      <c r="G58" s="225"/>
      <c r="H58" s="225"/>
      <c r="I58" s="225"/>
      <c r="J58" s="225"/>
      <c r="K58" s="225"/>
      <c r="L58" s="225"/>
      <c r="M58" s="111"/>
    </row>
    <row r="59" spans="1:16" ht="7.5" customHeight="1">
      <c r="B59" s="103"/>
      <c r="M59" s="99"/>
    </row>
    <row r="60" spans="1:16" ht="45" customHeight="1">
      <c r="B60" s="103"/>
      <c r="F60" s="110" t="s">
        <v>149</v>
      </c>
      <c r="G60" s="109" t="s">
        <v>148</v>
      </c>
      <c r="H60" s="109" t="s">
        <v>147</v>
      </c>
      <c r="I60" s="109" t="s">
        <v>146</v>
      </c>
      <c r="J60" s="108" t="s">
        <v>145</v>
      </c>
      <c r="M60" s="99"/>
    </row>
    <row r="61" spans="1:16" ht="7.5" customHeight="1">
      <c r="B61" s="103"/>
      <c r="F61" s="107"/>
      <c r="G61" s="107"/>
      <c r="H61" s="107"/>
      <c r="I61" s="107"/>
      <c r="J61" s="107"/>
      <c r="M61" s="99"/>
    </row>
    <row r="62" spans="1:16" ht="17.25" customHeight="1">
      <c r="B62" s="103"/>
      <c r="F62" s="102">
        <f>IF($E$6="","",DATE(YEAR($E$6)-1,MONTH($E$6),DAY($E$6)+1))</f>
        <v>45108</v>
      </c>
      <c r="G62" s="252" t="s">
        <v>103</v>
      </c>
      <c r="H62" s="252"/>
      <c r="I62" s="252"/>
      <c r="J62" s="125">
        <f>J41</f>
        <v>10000</v>
      </c>
      <c r="K62" s="119"/>
      <c r="L62" s="119"/>
      <c r="M62" s="104"/>
      <c r="O62" s="98"/>
      <c r="P62" s="97"/>
    </row>
    <row r="63" spans="1:16" ht="16.899999999999999" customHeight="1">
      <c r="B63" s="103"/>
      <c r="F63" s="124"/>
      <c r="G63" s="123"/>
      <c r="H63" s="123"/>
      <c r="I63" s="53">
        <f t="shared" ref="I63:I88" si="0">ROUND(IF(OR($J$43=0,$J$41=0,F63=0,F63&lt;$F$62,J62&lt;=0,$J$45&lt;=0),0,IF(AND($F$62&gt;=0,$J$41&gt;=0),($J$43*J62)/$J$38*(F63-F62),IF(AND(F63&lt;=$E$6,F62&gt;=$E$6-$J$38),0,$J$43*J62/$J$38*(F63-F62)))),2)</f>
        <v>0</v>
      </c>
      <c r="J63" s="53">
        <f>IF(J40="Year of Loan",(G63-H63),IF($J$41=0,IF(F63=0,0,J62+G63),IF(OR(F63=0,H63=0),J62,IF($J$62-SUM($H$63:H63)&lt;=0,0,J62-H63))))</f>
        <v>10000</v>
      </c>
      <c r="L63" s="119"/>
      <c r="M63" s="104"/>
      <c r="O63" s="98"/>
      <c r="P63" s="97"/>
    </row>
    <row r="64" spans="1:16" ht="16.899999999999999" customHeight="1">
      <c r="B64" s="103"/>
      <c r="F64" s="124"/>
      <c r="G64" s="123"/>
      <c r="H64" s="123"/>
      <c r="I64" s="53">
        <f t="shared" si="0"/>
        <v>0</v>
      </c>
      <c r="J64" s="53">
        <f>IF($J$40="Year of Loan",(J63+G64-H64),IF($J$41=0,IF(F64=0,0,J63+G64),IF(OR(F64=0,H64=0),J63,IF($J$62-SUM($H$63:H64)&lt;=0,0,J63-H64))))</f>
        <v>10000</v>
      </c>
      <c r="K64" s="121"/>
      <c r="L64" s="119"/>
      <c r="M64" s="104"/>
      <c r="O64" s="98"/>
      <c r="P64" s="97"/>
    </row>
    <row r="65" spans="2:16" ht="16.899999999999999" customHeight="1">
      <c r="B65" s="103"/>
      <c r="F65" s="124"/>
      <c r="G65" s="123"/>
      <c r="H65" s="123"/>
      <c r="I65" s="53">
        <f t="shared" si="0"/>
        <v>0</v>
      </c>
      <c r="J65" s="53">
        <f>IF($J$40="Year of Loan",(J64+G65-H65),IF($J$41=0,IF(F65=0,0,J64+G65),IF(OR(F65=0,H65=0),J64,IF($J$62-SUM($H$63:H65)&lt;=0,0,J64-H65))))</f>
        <v>10000</v>
      </c>
      <c r="K65" s="121"/>
      <c r="L65" s="119"/>
      <c r="M65" s="104"/>
      <c r="O65" s="98"/>
      <c r="P65" s="97"/>
    </row>
    <row r="66" spans="2:16" ht="16.899999999999999" customHeight="1">
      <c r="B66" s="103"/>
      <c r="F66" s="124"/>
      <c r="G66" s="123"/>
      <c r="H66" s="123"/>
      <c r="I66" s="53">
        <f t="shared" si="0"/>
        <v>0</v>
      </c>
      <c r="J66" s="53">
        <f>IF($J$40="Year of Loan",(J65+G66-H66),IF($J$41=0,IF(F66=0,0,J65+G66),IF(OR(F66=0,H66=0),J65,IF($J$62-SUM($H$63:H66)&lt;=0,0,J65-H66))))</f>
        <v>10000</v>
      </c>
      <c r="K66" s="121"/>
      <c r="L66" s="119"/>
      <c r="M66" s="104"/>
      <c r="O66" s="98"/>
      <c r="P66" s="97"/>
    </row>
    <row r="67" spans="2:16" ht="16.899999999999999" customHeight="1">
      <c r="B67" s="103"/>
      <c r="F67" s="124"/>
      <c r="G67" s="123"/>
      <c r="H67" s="123"/>
      <c r="I67" s="53">
        <f t="shared" si="0"/>
        <v>0</v>
      </c>
      <c r="J67" s="53">
        <f>IF($J$40="Year of Loan",(J66+G67-H67),IF($J$41=0,IF(F67=0,0,J66+G67),IF(OR(F67=0,H67=0),J66,IF($J$62-SUM($H$63:H67)&lt;=0,0,J66-H67))))</f>
        <v>10000</v>
      </c>
      <c r="K67" s="121"/>
      <c r="L67" s="119"/>
      <c r="M67" s="104"/>
      <c r="O67" s="98"/>
      <c r="P67" s="97"/>
    </row>
    <row r="68" spans="2:16" ht="16.899999999999999" customHeight="1">
      <c r="B68" s="103"/>
      <c r="F68" s="124"/>
      <c r="G68" s="123"/>
      <c r="H68" s="123"/>
      <c r="I68" s="53">
        <f t="shared" si="0"/>
        <v>0</v>
      </c>
      <c r="J68" s="53">
        <f>IF($J$40="Year of Loan",(J67+G68-H68),IF($J$41=0,IF(F68=0,0,J67+G68),IF(OR(F68=0,H68=0),J67,IF($J$62-SUM($H$63:H68)&lt;=0,0,J67-H68))))</f>
        <v>10000</v>
      </c>
      <c r="K68" s="121"/>
      <c r="L68" s="119"/>
      <c r="M68" s="104"/>
      <c r="O68" s="98"/>
      <c r="P68" s="97"/>
    </row>
    <row r="69" spans="2:16" ht="16.899999999999999" customHeight="1">
      <c r="B69" s="103"/>
      <c r="F69" s="124"/>
      <c r="G69" s="123"/>
      <c r="H69" s="123"/>
      <c r="I69" s="53">
        <f t="shared" si="0"/>
        <v>0</v>
      </c>
      <c r="J69" s="53">
        <f>IF($J$40="Year of Loan",(J68+G69-H69),IF($J$41=0,IF(F69=0,0,J68+G69),IF(OR(F69=0,H69=0),J68,IF($J$62-SUM($H$63:H69)&lt;=0,0,J68-H69))))</f>
        <v>10000</v>
      </c>
      <c r="L69" s="119"/>
      <c r="M69" s="104"/>
      <c r="O69" s="98"/>
      <c r="P69" s="97"/>
    </row>
    <row r="70" spans="2:16" ht="16.899999999999999" customHeight="1">
      <c r="B70" s="103"/>
      <c r="F70" s="124"/>
      <c r="G70" s="123"/>
      <c r="H70" s="123"/>
      <c r="I70" s="53">
        <f t="shared" si="0"/>
        <v>0</v>
      </c>
      <c r="J70" s="53">
        <f>IF($J$40="Year of Loan",(J69+G70-H70),IF($J$41=0,IF(F70=0,0,J69+G70),IF(OR(F70=0,H70=0),J69,IF($J$62-SUM($H$63:H70)&lt;=0,0,J69-H70))))</f>
        <v>10000</v>
      </c>
      <c r="K70" s="121"/>
      <c r="L70" s="119"/>
      <c r="M70" s="99"/>
      <c r="O70" s="98"/>
      <c r="P70" s="97"/>
    </row>
    <row r="71" spans="2:16" ht="16.899999999999999" customHeight="1">
      <c r="B71" s="103"/>
      <c r="F71" s="124"/>
      <c r="G71" s="123"/>
      <c r="H71" s="123"/>
      <c r="I71" s="53">
        <f t="shared" si="0"/>
        <v>0</v>
      </c>
      <c r="J71" s="53">
        <f>IF($J$40="Year of Loan",(J70+G71-H71),IF($J$41=0,IF(F71=0,0,J70+G71),IF(OR(F71=0,H71=0),J70,IF($J$62-SUM($H$63:H71)&lt;=0,0,J70-H71))))</f>
        <v>10000</v>
      </c>
      <c r="K71" s="121"/>
      <c r="L71" s="119"/>
      <c r="M71" s="99"/>
      <c r="O71" s="98"/>
      <c r="P71" s="97"/>
    </row>
    <row r="72" spans="2:16" ht="16.899999999999999" customHeight="1">
      <c r="B72" s="103"/>
      <c r="F72" s="124"/>
      <c r="G72" s="123"/>
      <c r="H72" s="123"/>
      <c r="I72" s="53">
        <f t="shared" si="0"/>
        <v>0</v>
      </c>
      <c r="J72" s="53">
        <f>IF($J$40="Year of Loan",(J71+G72-H72),IF($J$41=0,IF(F72=0,0,J71+G72),IF(OR(F72=0,H72=0),J71,IF($J$62-SUM($H$63:H72)&lt;=0,0,J71-H72))))</f>
        <v>10000</v>
      </c>
      <c r="K72" s="121"/>
      <c r="L72" s="119"/>
      <c r="M72" s="99"/>
      <c r="O72" s="98"/>
      <c r="P72" s="97"/>
    </row>
    <row r="73" spans="2:16" ht="16.899999999999999" customHeight="1">
      <c r="B73" s="103"/>
      <c r="F73" s="124"/>
      <c r="G73" s="123"/>
      <c r="H73" s="123"/>
      <c r="I73" s="53">
        <f t="shared" si="0"/>
        <v>0</v>
      </c>
      <c r="J73" s="53">
        <f>IF($J$40="Year of Loan",(J72+G73-H73),IF($J$41=0,IF(F73=0,0,J72+G73),IF(OR(F73=0,H73=0),J72,IF($J$62-SUM($H$63:H73)&lt;=0,0,J72-H73))))</f>
        <v>10000</v>
      </c>
      <c r="K73" s="121"/>
      <c r="L73" s="119"/>
      <c r="M73" s="99"/>
      <c r="O73" s="98"/>
      <c r="P73" s="97"/>
    </row>
    <row r="74" spans="2:16" ht="16.899999999999999" customHeight="1">
      <c r="B74" s="103"/>
      <c r="F74" s="124"/>
      <c r="G74" s="123"/>
      <c r="H74" s="123"/>
      <c r="I74" s="53">
        <f t="shared" si="0"/>
        <v>0</v>
      </c>
      <c r="J74" s="53">
        <f>IF($J$40="Year of Loan",(J73+G74-H74),IF($J$41=0,IF(F74=0,0,J73+G74),IF(OR(F74=0,H74=0),J73,IF($J$62-SUM($H$63:H74)&lt;=0,0,J73-H74))))</f>
        <v>10000</v>
      </c>
      <c r="K74" s="121"/>
      <c r="L74" s="119"/>
      <c r="M74" s="99"/>
      <c r="O74" s="98"/>
      <c r="P74" s="97"/>
    </row>
    <row r="75" spans="2:16" ht="16.899999999999999" customHeight="1">
      <c r="B75" s="103"/>
      <c r="F75" s="124"/>
      <c r="G75" s="123"/>
      <c r="H75" s="123"/>
      <c r="I75" s="53">
        <f t="shared" si="0"/>
        <v>0</v>
      </c>
      <c r="J75" s="53">
        <f>IF($J$40="Year of Loan",(J74+G75-H75),IF($J$41=0,IF(F75=0,0,J74+G75),IF(OR(F75=0,H75=0),J74,IF($J$62-SUM($H$63:H75)&lt;=0,0,J74-H75))))</f>
        <v>10000</v>
      </c>
      <c r="K75" s="121"/>
      <c r="L75" s="119"/>
      <c r="M75" s="99"/>
      <c r="O75" s="98"/>
      <c r="P75" s="97"/>
    </row>
    <row r="76" spans="2:16" ht="16.899999999999999" customHeight="1">
      <c r="B76" s="103"/>
      <c r="F76" s="124"/>
      <c r="G76" s="123"/>
      <c r="H76" s="123"/>
      <c r="I76" s="53">
        <f t="shared" si="0"/>
        <v>0</v>
      </c>
      <c r="J76" s="53">
        <f>IF($J$40="Year of Loan",(J75+G76-H76),IF($J$41=0,IF(F76=0,0,J75+G76),IF(OR(F76=0,H76=0),J75,IF($J$62-SUM($H$63:H76)&lt;=0,0,J75-H76))))</f>
        <v>10000</v>
      </c>
      <c r="K76" s="121"/>
      <c r="L76" s="119"/>
      <c r="M76" s="99"/>
      <c r="O76" s="98"/>
      <c r="P76" s="97"/>
    </row>
    <row r="77" spans="2:16" ht="16.899999999999999" customHeight="1">
      <c r="B77" s="103"/>
      <c r="F77" s="124"/>
      <c r="G77" s="123"/>
      <c r="H77" s="123"/>
      <c r="I77" s="53">
        <f t="shared" si="0"/>
        <v>0</v>
      </c>
      <c r="J77" s="53">
        <f>IF($J$40="Year of Loan",(J76+G77-H77),IF($J$41=0,IF(F77=0,0,J76+G77),IF(OR(F77=0,H77=0),J76,IF($J$62-SUM($H$63:H77)&lt;=0,0,J76-H77))))</f>
        <v>10000</v>
      </c>
      <c r="K77" s="121"/>
      <c r="L77" s="119"/>
      <c r="M77" s="99"/>
      <c r="O77" s="98"/>
      <c r="P77" s="97"/>
    </row>
    <row r="78" spans="2:16" ht="16.899999999999999" customHeight="1">
      <c r="B78" s="103"/>
      <c r="F78" s="124"/>
      <c r="G78" s="123"/>
      <c r="H78" s="123"/>
      <c r="I78" s="53">
        <f t="shared" si="0"/>
        <v>0</v>
      </c>
      <c r="J78" s="53">
        <f>IF($J$40="Year of Loan",(J77+G78-H78),IF($J$41=0,IF(F78=0,0,J77+G78),IF(OR(F78=0,H78=0),J77,IF($J$62-SUM($H$63:H78)&lt;=0,0,J77-H78))))</f>
        <v>10000</v>
      </c>
      <c r="K78" s="121"/>
      <c r="L78" s="119"/>
      <c r="M78" s="99"/>
      <c r="O78" s="98"/>
      <c r="P78" s="97"/>
    </row>
    <row r="79" spans="2:16" ht="16.899999999999999" customHeight="1">
      <c r="B79" s="103"/>
      <c r="F79" s="124"/>
      <c r="G79" s="123"/>
      <c r="H79" s="123"/>
      <c r="I79" s="53">
        <f t="shared" si="0"/>
        <v>0</v>
      </c>
      <c r="J79" s="53">
        <f>IF($J$40="Year of Loan",(J78+G79-H79),IF($J$41=0,IF(F79=0,0,J78+G79),IF(OR(F79=0,H79=0),J78,IF($J$62-SUM($H$63:H79)&lt;=0,0,J78-H79))))</f>
        <v>10000</v>
      </c>
      <c r="K79" s="121"/>
      <c r="L79" s="119"/>
      <c r="M79" s="99"/>
      <c r="O79" s="98"/>
      <c r="P79" s="97"/>
    </row>
    <row r="80" spans="2:16" ht="16.899999999999999" customHeight="1">
      <c r="B80" s="103"/>
      <c r="F80" s="124"/>
      <c r="G80" s="123"/>
      <c r="H80" s="123"/>
      <c r="I80" s="53">
        <f t="shared" si="0"/>
        <v>0</v>
      </c>
      <c r="J80" s="53">
        <f>IF($J$40="Year of Loan",(J79+G80-H80),IF($J$41=0,IF(F80=0,0,J79+G80),IF(OR(F80=0,H80=0),J79,IF($J$62-SUM($H$63:H80)&lt;=0,0,J79-H80))))</f>
        <v>10000</v>
      </c>
      <c r="K80" s="121"/>
      <c r="L80" s="119"/>
      <c r="M80" s="99"/>
      <c r="O80" s="98"/>
      <c r="P80" s="97"/>
    </row>
    <row r="81" spans="1:16" ht="16.899999999999999" customHeight="1">
      <c r="B81" s="103"/>
      <c r="F81" s="124"/>
      <c r="G81" s="123"/>
      <c r="H81" s="123"/>
      <c r="I81" s="53">
        <f t="shared" si="0"/>
        <v>0</v>
      </c>
      <c r="J81" s="53">
        <f>IF($J$40="Year of Loan",(J80+G81-H81),IF($J$41=0,IF(F81=0,0,J80+G81),IF(OR(F81=0,H81=0),J80,IF($J$62-SUM($H$63:H81)&lt;=0,0,J80-H81))))</f>
        <v>10000</v>
      </c>
      <c r="K81" s="121"/>
      <c r="L81" s="119"/>
      <c r="M81" s="111"/>
      <c r="O81" s="98"/>
      <c r="P81" s="97"/>
    </row>
    <row r="82" spans="1:16" ht="16.899999999999999" customHeight="1">
      <c r="B82" s="103"/>
      <c r="F82" s="124"/>
      <c r="G82" s="123"/>
      <c r="H82" s="123"/>
      <c r="I82" s="53">
        <f t="shared" si="0"/>
        <v>0</v>
      </c>
      <c r="J82" s="53">
        <f>IF($J$40="Year of Loan",(J81+G82-H82),IF($J$41=0,IF(F82=0,0,J81+G82),IF(OR(F82=0,H82=0),J81,IF($J$62-SUM($H$63:H82)&lt;=0,0,J81-H82))))</f>
        <v>10000</v>
      </c>
      <c r="K82" s="121"/>
      <c r="L82" s="119"/>
      <c r="M82" s="111"/>
      <c r="O82" s="98"/>
      <c r="P82" s="97"/>
    </row>
    <row r="83" spans="1:16" ht="16.899999999999999" customHeight="1">
      <c r="B83" s="103"/>
      <c r="F83" s="124"/>
      <c r="G83" s="123"/>
      <c r="H83" s="123"/>
      <c r="I83" s="53">
        <f t="shared" si="0"/>
        <v>0</v>
      </c>
      <c r="J83" s="53">
        <f>IF($J$40="Year of Loan",(J82+G83-H83),IF($J$41=0,IF(F83=0,0,J82+G83),IF(OR(F83=0,H83=0),J82,IF($J$62-SUM($H$63:H83)&lt;=0,0,J82-H83))))</f>
        <v>10000</v>
      </c>
      <c r="K83" s="121"/>
      <c r="L83" s="119"/>
      <c r="M83" s="99"/>
      <c r="O83" s="98"/>
      <c r="P83" s="97"/>
    </row>
    <row r="84" spans="1:16" ht="16.899999999999999" customHeight="1">
      <c r="B84" s="103"/>
      <c r="F84" s="124"/>
      <c r="G84" s="123"/>
      <c r="H84" s="123"/>
      <c r="I84" s="53">
        <f t="shared" si="0"/>
        <v>0</v>
      </c>
      <c r="J84" s="53">
        <f>IF($J$40="Year of Loan",(J83+G84-H84),IF($J$41=0,IF(F84=0,0,J83+G84),IF(OR(F84=0,H84=0),J83,IF($J$62-SUM($H$63:H84)&lt;=0,0,J83-H84))))</f>
        <v>10000</v>
      </c>
      <c r="K84" s="121"/>
      <c r="L84" s="119"/>
      <c r="M84" s="99"/>
      <c r="O84" s="98"/>
      <c r="P84" s="97"/>
    </row>
    <row r="85" spans="1:16" ht="16.899999999999999" customHeight="1">
      <c r="B85" s="103"/>
      <c r="F85" s="124"/>
      <c r="G85" s="123"/>
      <c r="H85" s="123"/>
      <c r="I85" s="53">
        <f t="shared" si="0"/>
        <v>0</v>
      </c>
      <c r="J85" s="53">
        <f>IF($J$40="Year of Loan",(J84+G85-H85),IF($J$41=0,IF(F85=0,0,J84+G85),IF(OR(F85=0,H85=0),J84,IF($J$62-SUM($H$63:H85)&lt;=0,0,J84-H85))))</f>
        <v>10000</v>
      </c>
      <c r="K85" s="121"/>
      <c r="L85" s="119"/>
      <c r="M85" s="99"/>
      <c r="O85" s="98"/>
      <c r="P85" s="97"/>
    </row>
    <row r="86" spans="1:16" ht="16.899999999999999" customHeight="1">
      <c r="B86" s="103"/>
      <c r="F86" s="124"/>
      <c r="G86" s="123"/>
      <c r="H86" s="123"/>
      <c r="I86" s="53">
        <f t="shared" si="0"/>
        <v>0</v>
      </c>
      <c r="J86" s="53">
        <f>IF($J$40="Year of Loan",(J85+G86-H86),IF($J$41=0,IF(F86=0,0,J85+G86),IF(OR(F86=0,H86=0),J85,IF($J$62-SUM($H$63:H86)&lt;=0,0,J85-H86))))</f>
        <v>10000</v>
      </c>
      <c r="K86" s="121"/>
      <c r="L86" s="119"/>
      <c r="M86" s="99"/>
      <c r="O86" s="98"/>
      <c r="P86" s="97"/>
    </row>
    <row r="87" spans="1:16" ht="16.899999999999999" customHeight="1">
      <c r="B87" s="103"/>
      <c r="F87" s="124"/>
      <c r="G87" s="123"/>
      <c r="H87" s="123"/>
      <c r="I87" s="53">
        <f t="shared" si="0"/>
        <v>0</v>
      </c>
      <c r="J87" s="53">
        <f>IF($J$40="Year of Loan",(J86+G87-H87),IF($J$41=0,IF(F87=0,0,J86+G87),IF(OR(F87=0,H87=0),J86,IF($J$62-SUM($H$63:H87)&lt;=0,0,J86-H87))))</f>
        <v>10000</v>
      </c>
      <c r="K87" s="121"/>
      <c r="L87" s="119"/>
      <c r="M87" s="99"/>
      <c r="O87" s="98"/>
      <c r="P87" s="97"/>
    </row>
    <row r="88" spans="1:16" ht="16.899999999999999" customHeight="1">
      <c r="B88" s="103"/>
      <c r="F88" s="124"/>
      <c r="G88" s="123"/>
      <c r="H88" s="123"/>
      <c r="I88" s="53">
        <f t="shared" si="0"/>
        <v>0</v>
      </c>
      <c r="J88" s="53">
        <f>IF($J$40="Year of Loan",(J87+G88-H88),IF($J$41=0,IF(F88=0,0,J87+G88),IF(OR(F88=0,H88=0),J87,IF($J$62-SUM($H$63:H88)&lt;=0,0,J87-H88))))</f>
        <v>10000</v>
      </c>
      <c r="K88" s="121"/>
      <c r="L88" s="119"/>
      <c r="M88" s="99"/>
      <c r="O88" s="98"/>
      <c r="P88" s="97"/>
    </row>
    <row r="89" spans="1:16" ht="16.899999999999999" customHeight="1">
      <c r="B89" s="103"/>
      <c r="F89" s="122">
        <f>$E$6</f>
        <v>45473</v>
      </c>
      <c r="I89" s="53">
        <f>IF(J40="Year of Loan", 0, IF($J$41=0,0,IF(ISERROR(IF($J$43=0,0,($J$43*VLOOKUP(F89,F63:J88,5)/J38))),IF($J$62&gt;0,$J$62*$J$43,0),IF($J$43=0,0,($J$43*(VLOOKUP(F89,F63:J88,5)/J38)*(F89-VLOOKUP(F89,F63:J88,1)+1))))))</f>
        <v>827</v>
      </c>
      <c r="K89" s="121"/>
      <c r="L89" s="119"/>
      <c r="M89" s="99"/>
      <c r="O89" s="98"/>
      <c r="P89" s="97"/>
    </row>
    <row r="90" spans="1:16" ht="16.899999999999999" customHeight="1">
      <c r="B90" s="103"/>
      <c r="G90" s="120">
        <f>SUM(G63:G89)</f>
        <v>0</v>
      </c>
      <c r="H90" s="120">
        <f>SUM(H63:H89)</f>
        <v>0</v>
      </c>
      <c r="I90" s="120">
        <f>ROUNDDOWN(SUM(I63:I89),2)</f>
        <v>827</v>
      </c>
      <c r="J90" s="119"/>
      <c r="M90" s="99"/>
      <c r="O90" s="98"/>
      <c r="P90" s="97"/>
    </row>
    <row r="91" spans="1:16" ht="7.5" customHeight="1">
      <c r="B91" s="96"/>
      <c r="C91" s="95"/>
      <c r="D91" s="95"/>
      <c r="E91" s="95"/>
      <c r="F91" s="95"/>
      <c r="G91" s="95"/>
      <c r="H91" s="95"/>
      <c r="I91" s="95"/>
      <c r="J91" s="95"/>
      <c r="K91" s="95"/>
      <c r="L91" s="95"/>
      <c r="M91" s="94"/>
    </row>
    <row r="92" spans="1:16" ht="22.5" customHeight="1"/>
    <row r="93" spans="1:16" ht="22.5" customHeight="1">
      <c r="A93" s="118" t="str">
        <f>IF(SUBTOTAL(103,A94),"-","+")</f>
        <v>-</v>
      </c>
      <c r="B93" s="231" t="s">
        <v>144</v>
      </c>
      <c r="C93" s="232"/>
      <c r="D93" s="232"/>
      <c r="E93" s="232"/>
      <c r="F93" s="232"/>
      <c r="G93" s="232"/>
      <c r="H93" s="233"/>
      <c r="I93" s="117"/>
      <c r="J93" s="117"/>
      <c r="K93" s="117"/>
      <c r="L93" s="117"/>
      <c r="M93" s="116"/>
    </row>
    <row r="94" spans="1:16" ht="7.5" customHeight="1">
      <c r="A94" s="77" t="s">
        <v>59</v>
      </c>
      <c r="B94" s="115"/>
      <c r="C94" s="114"/>
      <c r="D94" s="114"/>
      <c r="E94" s="114"/>
      <c r="F94" s="114"/>
      <c r="G94" s="114"/>
      <c r="H94" s="113"/>
      <c r="I94" s="113"/>
      <c r="J94" s="113"/>
      <c r="K94" s="113"/>
      <c r="L94" s="113"/>
      <c r="M94" s="112"/>
    </row>
    <row r="95" spans="1:16" ht="30" customHeight="1">
      <c r="B95" s="103"/>
      <c r="E95" s="253" t="s">
        <v>143</v>
      </c>
      <c r="F95" s="254"/>
      <c r="G95" s="254"/>
      <c r="H95" s="254"/>
      <c r="I95" s="254"/>
      <c r="J95" s="254"/>
      <c r="K95" s="254"/>
      <c r="L95" s="254"/>
      <c r="M95" s="111"/>
    </row>
    <row r="96" spans="1:16" ht="17.25" customHeight="1">
      <c r="B96" s="103"/>
      <c r="M96" s="99"/>
    </row>
    <row r="97" spans="2:16" ht="35.1" customHeight="1">
      <c r="B97" s="103"/>
      <c r="C97" s="99"/>
      <c r="D97" s="109" t="s">
        <v>142</v>
      </c>
      <c r="E97" s="248" t="s">
        <v>141</v>
      </c>
      <c r="F97" s="249"/>
      <c r="G97" s="109" t="s">
        <v>103</v>
      </c>
      <c r="H97" s="109" t="s">
        <v>140</v>
      </c>
      <c r="I97" s="109" t="s">
        <v>139</v>
      </c>
      <c r="J97" s="109" t="s">
        <v>138</v>
      </c>
      <c r="K97" s="109" t="s">
        <v>101</v>
      </c>
      <c r="L97" s="108" t="s">
        <v>100</v>
      </c>
      <c r="M97" s="99"/>
    </row>
    <row r="98" spans="2:16" ht="7.5" customHeight="1">
      <c r="B98" s="103"/>
      <c r="E98" s="107"/>
      <c r="F98" s="107"/>
      <c r="G98" s="107"/>
      <c r="H98" s="107"/>
      <c r="I98" s="107"/>
      <c r="J98" s="107"/>
      <c r="K98" s="107"/>
      <c r="L98" s="107"/>
      <c r="M98" s="99"/>
    </row>
    <row r="99" spans="2:16" ht="17.25" customHeight="1">
      <c r="B99" s="103"/>
      <c r="C99" s="106" t="str">
        <f>$F$34</f>
        <v>Director Loan - 2023</v>
      </c>
      <c r="D99" s="105" t="str">
        <f>J35</f>
        <v>Director A</v>
      </c>
      <c r="E99" s="102">
        <f>IF(AND(J40="Year of Loan",SingleCB_1&gt;0),$E$6,IF(OR($J$40=0,$J$41&lt;=0,$E$6=""),"",$E$6))</f>
        <v>45473</v>
      </c>
      <c r="F99" s="101">
        <f>IF(E99="","",IF($J$41&gt;0,J39-J40+1,IF(J40="year of Loan",0,0)))</f>
        <v>1</v>
      </c>
      <c r="G99" s="53">
        <f>IF(J40="Year of Loan",0,IF($J$41&lt;=0,0,$J$41))</f>
        <v>10000</v>
      </c>
      <c r="H99" s="53">
        <f>IF(J40="Year of Loan",0,IF($J$41=0,0,$H$90))</f>
        <v>0</v>
      </c>
      <c r="I99" s="53">
        <f>IF(J40="Year of Loan", 0, ROUND(IF(E99=0,0,IF(J99=0,0,H99-J99)),2))</f>
        <v>-2180.9</v>
      </c>
      <c r="J99" s="53">
        <f>IF(J40="Year of Loan",0,J44)</f>
        <v>2180.9</v>
      </c>
      <c r="K99" s="53">
        <f>IF(J40="Year of Loan",0,IF($J$45&lt;=0,0,$I$90))</f>
        <v>827</v>
      </c>
      <c r="L99" s="53">
        <f>SingleCB_1</f>
        <v>10827</v>
      </c>
      <c r="M99" s="104"/>
      <c r="O99" s="98"/>
      <c r="P99" s="97"/>
    </row>
    <row r="100" spans="2:16" ht="17.25" customHeight="1">
      <c r="B100" s="103"/>
      <c r="E100" s="102">
        <f t="shared" ref="E100:E110" si="1">IF(OR(E99="",L99=0),"",IF($J$40&lt;2,"",E99+J129))</f>
        <v>45838</v>
      </c>
      <c r="F100" s="101">
        <f t="shared" ref="F100:F123" si="2">IF(E100="","",F99+1)</f>
        <v>2</v>
      </c>
      <c r="G100" s="53">
        <f t="shared" ref="G100:G123" si="3">IF(L99&lt;=1,0,IF($J$40="year of Loan",L99,IF(OR($J$45=0,E100=""),0,L99)))</f>
        <v>10827</v>
      </c>
      <c r="H100" s="100"/>
      <c r="I100" s="100"/>
      <c r="J100" s="53">
        <f t="shared" ref="J100:J110" si="4">IFERROR(IF($J$40&lt;H129,0,IF($J$40="year of Loan",(G100*I129)/(1-(1/(1+I129)^($J$39-(H129-1)*1))),IF($J$40=H129,G100+K100,(G100*I129)/(1-(1/(1+I129))^($J$40-(H129-1)*1))))),0)</f>
        <v>2766.948339737351</v>
      </c>
      <c r="K100" s="53">
        <f t="shared" ref="K100:K110" si="5">IF(G100=0,0,G100*I129)</f>
        <v>949.52790000000005</v>
      </c>
      <c r="L100" s="53">
        <f t="shared" ref="L100:L123" si="6">IF(ISBLANK($J$40),0,IF(AND(G100=0,K100=0),0,ROUND(IF(G100+K100&lt;=0.01,0,G100-J100+K100),2)))</f>
        <v>9009.58</v>
      </c>
      <c r="M100" s="99"/>
      <c r="O100" s="98"/>
      <c r="P100" s="97"/>
    </row>
    <row r="101" spans="2:16" ht="17.25" customHeight="1">
      <c r="B101" s="103"/>
      <c r="E101" s="102">
        <f t="shared" si="1"/>
        <v>46203</v>
      </c>
      <c r="F101" s="101">
        <f t="shared" si="2"/>
        <v>3</v>
      </c>
      <c r="G101" s="53">
        <f t="shared" si="3"/>
        <v>9009.58</v>
      </c>
      <c r="I101" s="100"/>
      <c r="J101" s="53">
        <f t="shared" si="4"/>
        <v>2766.9484747858864</v>
      </c>
      <c r="K101" s="53">
        <f t="shared" si="5"/>
        <v>790.14016600000002</v>
      </c>
      <c r="L101" s="53">
        <f t="shared" si="6"/>
        <v>7032.77</v>
      </c>
      <c r="M101" s="99"/>
      <c r="O101" s="98"/>
      <c r="P101" s="97"/>
    </row>
    <row r="102" spans="2:16" ht="17.25" customHeight="1">
      <c r="B102" s="103"/>
      <c r="E102" s="102">
        <f t="shared" si="1"/>
        <v>46568</v>
      </c>
      <c r="F102" s="101">
        <f t="shared" si="2"/>
        <v>4</v>
      </c>
      <c r="G102" s="53">
        <f t="shared" si="3"/>
        <v>7032.77</v>
      </c>
      <c r="I102" s="100"/>
      <c r="J102" s="53">
        <f t="shared" si="4"/>
        <v>2766.9478094006699</v>
      </c>
      <c r="K102" s="53">
        <f t="shared" si="5"/>
        <v>616.77392900000007</v>
      </c>
      <c r="L102" s="53">
        <f t="shared" si="6"/>
        <v>4882.6000000000004</v>
      </c>
      <c r="M102" s="99"/>
      <c r="O102" s="98"/>
      <c r="P102" s="97"/>
    </row>
    <row r="103" spans="2:16" ht="17.25" customHeight="1">
      <c r="B103" s="103"/>
      <c r="E103" s="102">
        <f t="shared" si="1"/>
        <v>46934</v>
      </c>
      <c r="F103" s="101">
        <f t="shared" si="2"/>
        <v>5</v>
      </c>
      <c r="G103" s="53">
        <f t="shared" si="3"/>
        <v>4882.6000000000004</v>
      </c>
      <c r="I103" s="100"/>
      <c r="J103" s="53">
        <f t="shared" si="4"/>
        <v>2766.9500084083002</v>
      </c>
      <c r="K103" s="53">
        <f t="shared" si="5"/>
        <v>428.20402000000001</v>
      </c>
      <c r="L103" s="53">
        <f t="shared" si="6"/>
        <v>2543.85</v>
      </c>
      <c r="M103" s="99"/>
      <c r="O103" s="98"/>
      <c r="P103" s="97"/>
    </row>
    <row r="104" spans="2:16" ht="17.25" customHeight="1">
      <c r="B104" s="103"/>
      <c r="E104" s="102">
        <f t="shared" si="1"/>
        <v>47299</v>
      </c>
      <c r="F104" s="101">
        <f t="shared" si="2"/>
        <v>6</v>
      </c>
      <c r="G104" s="53">
        <f t="shared" si="3"/>
        <v>2543.85</v>
      </c>
      <c r="I104" s="100"/>
      <c r="J104" s="53">
        <f t="shared" si="4"/>
        <v>2766.9456449999998</v>
      </c>
      <c r="K104" s="53">
        <f t="shared" si="5"/>
        <v>223.09564499999999</v>
      </c>
      <c r="L104" s="53">
        <f t="shared" si="6"/>
        <v>0</v>
      </c>
      <c r="M104" s="99"/>
      <c r="O104" s="98"/>
      <c r="P104" s="97"/>
    </row>
    <row r="105" spans="2:16" ht="17.25" customHeight="1">
      <c r="B105" s="103"/>
      <c r="E105" s="102" t="str">
        <f t="shared" si="1"/>
        <v/>
      </c>
      <c r="F105" s="101" t="str">
        <f t="shared" si="2"/>
        <v/>
      </c>
      <c r="G105" s="53">
        <f t="shared" si="3"/>
        <v>0</v>
      </c>
      <c r="I105" s="100"/>
      <c r="J105" s="53">
        <f t="shared" si="4"/>
        <v>0</v>
      </c>
      <c r="K105" s="53">
        <f t="shared" si="5"/>
        <v>0</v>
      </c>
      <c r="L105" s="53">
        <f t="shared" si="6"/>
        <v>0</v>
      </c>
      <c r="M105" s="99"/>
      <c r="O105" s="98"/>
      <c r="P105" s="97"/>
    </row>
    <row r="106" spans="2:16" ht="17.25" customHeight="1">
      <c r="B106" s="103"/>
      <c r="E106" s="102" t="str">
        <f t="shared" si="1"/>
        <v/>
      </c>
      <c r="F106" s="101" t="str">
        <f t="shared" si="2"/>
        <v/>
      </c>
      <c r="G106" s="53">
        <f t="shared" si="3"/>
        <v>0</v>
      </c>
      <c r="I106" s="100"/>
      <c r="J106" s="53">
        <f t="shared" si="4"/>
        <v>0</v>
      </c>
      <c r="K106" s="53">
        <f t="shared" si="5"/>
        <v>0</v>
      </c>
      <c r="L106" s="53">
        <f t="shared" si="6"/>
        <v>0</v>
      </c>
      <c r="M106" s="99"/>
      <c r="O106" s="98"/>
      <c r="P106" s="97"/>
    </row>
    <row r="107" spans="2:16" ht="17.25" customHeight="1">
      <c r="B107" s="103"/>
      <c r="E107" s="102" t="str">
        <f t="shared" si="1"/>
        <v/>
      </c>
      <c r="F107" s="101" t="str">
        <f t="shared" si="2"/>
        <v/>
      </c>
      <c r="G107" s="53">
        <f t="shared" si="3"/>
        <v>0</v>
      </c>
      <c r="I107" s="100"/>
      <c r="J107" s="53">
        <f t="shared" si="4"/>
        <v>0</v>
      </c>
      <c r="K107" s="53">
        <f t="shared" si="5"/>
        <v>0</v>
      </c>
      <c r="L107" s="53">
        <f t="shared" si="6"/>
        <v>0</v>
      </c>
      <c r="M107" s="99"/>
      <c r="O107" s="98"/>
      <c r="P107" s="97"/>
    </row>
    <row r="108" spans="2:16" ht="17.25" customHeight="1">
      <c r="B108" s="103"/>
      <c r="E108" s="102" t="str">
        <f t="shared" si="1"/>
        <v/>
      </c>
      <c r="F108" s="101" t="str">
        <f t="shared" si="2"/>
        <v/>
      </c>
      <c r="G108" s="53">
        <f t="shared" si="3"/>
        <v>0</v>
      </c>
      <c r="I108" s="100"/>
      <c r="J108" s="53">
        <f t="shared" si="4"/>
        <v>0</v>
      </c>
      <c r="K108" s="53">
        <f t="shared" si="5"/>
        <v>0</v>
      </c>
      <c r="L108" s="53">
        <f t="shared" si="6"/>
        <v>0</v>
      </c>
      <c r="M108" s="99"/>
      <c r="O108" s="98"/>
      <c r="P108" s="97"/>
    </row>
    <row r="109" spans="2:16" ht="17.25" customHeight="1">
      <c r="B109" s="103"/>
      <c r="E109" s="102" t="str">
        <f t="shared" si="1"/>
        <v/>
      </c>
      <c r="F109" s="101" t="str">
        <f t="shared" si="2"/>
        <v/>
      </c>
      <c r="G109" s="53">
        <f t="shared" si="3"/>
        <v>0</v>
      </c>
      <c r="I109" s="100"/>
      <c r="J109" s="53">
        <f t="shared" si="4"/>
        <v>0</v>
      </c>
      <c r="K109" s="53">
        <f t="shared" si="5"/>
        <v>0</v>
      </c>
      <c r="L109" s="53">
        <f t="shared" si="6"/>
        <v>0</v>
      </c>
      <c r="M109" s="99"/>
      <c r="O109" s="98"/>
      <c r="P109" s="97"/>
    </row>
    <row r="110" spans="2:16" ht="17.25" customHeight="1">
      <c r="B110" s="103"/>
      <c r="E110" s="102" t="str">
        <f t="shared" si="1"/>
        <v/>
      </c>
      <c r="F110" s="101" t="str">
        <f t="shared" si="2"/>
        <v/>
      </c>
      <c r="G110" s="53">
        <f t="shared" si="3"/>
        <v>0</v>
      </c>
      <c r="I110" s="100"/>
      <c r="J110" s="53">
        <f t="shared" si="4"/>
        <v>0</v>
      </c>
      <c r="K110" s="53">
        <f t="shared" si="5"/>
        <v>0</v>
      </c>
      <c r="L110" s="53">
        <f t="shared" si="6"/>
        <v>0</v>
      </c>
      <c r="M110" s="99"/>
      <c r="O110" s="98"/>
      <c r="P110" s="97"/>
    </row>
    <row r="111" spans="2:16" ht="17.25" customHeight="1">
      <c r="B111" s="103"/>
      <c r="E111" s="102" t="str">
        <f t="shared" ref="E111:E123" si="7">IF(OR(E110="",L110=0),"",IF($J$40&lt;2,"",E110+J141))</f>
        <v/>
      </c>
      <c r="F111" s="101" t="str">
        <f t="shared" si="2"/>
        <v/>
      </c>
      <c r="G111" s="53">
        <f t="shared" si="3"/>
        <v>0</v>
      </c>
      <c r="I111" s="100"/>
      <c r="J111" s="53">
        <f t="shared" ref="J111:J123" si="8">IFERROR(IF($J$40&lt;H141,0,IF($J$40="year of Loan",(G111*I141)/(1-(1/(1+I141)^($J$39-(H141-1)*1))),IF($J$40=H141,G111+K111,(G111*I141)/(1-(1/(1+I141))^($J$40-(H141-1)*1))))),0)</f>
        <v>0</v>
      </c>
      <c r="K111" s="53">
        <f t="shared" ref="K111:K123" si="9">IF(G111=0,0,G111*I141)</f>
        <v>0</v>
      </c>
      <c r="L111" s="53">
        <f t="shared" si="6"/>
        <v>0</v>
      </c>
      <c r="M111" s="99"/>
      <c r="O111" s="98"/>
      <c r="P111" s="97"/>
    </row>
    <row r="112" spans="2:16" ht="17.25" customHeight="1">
      <c r="B112" s="103"/>
      <c r="E112" s="102" t="str">
        <f t="shared" si="7"/>
        <v/>
      </c>
      <c r="F112" s="101" t="str">
        <f t="shared" si="2"/>
        <v/>
      </c>
      <c r="G112" s="53">
        <f t="shared" si="3"/>
        <v>0</v>
      </c>
      <c r="I112" s="100"/>
      <c r="J112" s="53">
        <f t="shared" si="8"/>
        <v>0</v>
      </c>
      <c r="K112" s="53">
        <f t="shared" si="9"/>
        <v>0</v>
      </c>
      <c r="L112" s="53">
        <f t="shared" si="6"/>
        <v>0</v>
      </c>
      <c r="M112" s="99"/>
      <c r="O112" s="98"/>
      <c r="P112" s="97"/>
    </row>
    <row r="113" spans="2:16" ht="17.25" customHeight="1">
      <c r="B113" s="103"/>
      <c r="E113" s="102" t="str">
        <f t="shared" si="7"/>
        <v/>
      </c>
      <c r="F113" s="101" t="str">
        <f t="shared" si="2"/>
        <v/>
      </c>
      <c r="G113" s="53">
        <f t="shared" si="3"/>
        <v>0</v>
      </c>
      <c r="I113" s="100"/>
      <c r="J113" s="53">
        <f t="shared" si="8"/>
        <v>0</v>
      </c>
      <c r="K113" s="53">
        <f t="shared" si="9"/>
        <v>0</v>
      </c>
      <c r="L113" s="53">
        <f t="shared" si="6"/>
        <v>0</v>
      </c>
      <c r="M113" s="99"/>
      <c r="O113" s="98"/>
      <c r="P113" s="97"/>
    </row>
    <row r="114" spans="2:16" ht="17.25" customHeight="1">
      <c r="B114" s="103"/>
      <c r="E114" s="102" t="str">
        <f t="shared" si="7"/>
        <v/>
      </c>
      <c r="F114" s="101" t="str">
        <f t="shared" si="2"/>
        <v/>
      </c>
      <c r="G114" s="53">
        <f t="shared" si="3"/>
        <v>0</v>
      </c>
      <c r="I114" s="100"/>
      <c r="J114" s="53">
        <f t="shared" si="8"/>
        <v>0</v>
      </c>
      <c r="K114" s="53">
        <f t="shared" si="9"/>
        <v>0</v>
      </c>
      <c r="L114" s="53">
        <f t="shared" si="6"/>
        <v>0</v>
      </c>
      <c r="M114" s="99"/>
      <c r="O114" s="98"/>
      <c r="P114" s="97"/>
    </row>
    <row r="115" spans="2:16" ht="17.25" customHeight="1">
      <c r="B115" s="103"/>
      <c r="E115" s="102" t="str">
        <f t="shared" si="7"/>
        <v/>
      </c>
      <c r="F115" s="101" t="str">
        <f t="shared" si="2"/>
        <v/>
      </c>
      <c r="G115" s="53">
        <f t="shared" si="3"/>
        <v>0</v>
      </c>
      <c r="I115" s="100"/>
      <c r="J115" s="53">
        <f t="shared" si="8"/>
        <v>0</v>
      </c>
      <c r="K115" s="53">
        <f t="shared" si="9"/>
        <v>0</v>
      </c>
      <c r="L115" s="53">
        <f t="shared" si="6"/>
        <v>0</v>
      </c>
      <c r="M115" s="99"/>
      <c r="O115" s="98"/>
      <c r="P115" s="97"/>
    </row>
    <row r="116" spans="2:16" ht="17.25" customHeight="1">
      <c r="B116" s="103"/>
      <c r="E116" s="102" t="str">
        <f t="shared" si="7"/>
        <v/>
      </c>
      <c r="F116" s="101" t="str">
        <f t="shared" si="2"/>
        <v/>
      </c>
      <c r="G116" s="53">
        <f t="shared" si="3"/>
        <v>0</v>
      </c>
      <c r="I116" s="100"/>
      <c r="J116" s="53">
        <f t="shared" si="8"/>
        <v>0</v>
      </c>
      <c r="K116" s="53">
        <f t="shared" si="9"/>
        <v>0</v>
      </c>
      <c r="L116" s="53">
        <f t="shared" si="6"/>
        <v>0</v>
      </c>
      <c r="M116" s="99"/>
      <c r="O116" s="98"/>
      <c r="P116" s="97"/>
    </row>
    <row r="117" spans="2:16" ht="17.25" customHeight="1">
      <c r="B117" s="103"/>
      <c r="E117" s="102" t="str">
        <f t="shared" si="7"/>
        <v/>
      </c>
      <c r="F117" s="101" t="str">
        <f t="shared" si="2"/>
        <v/>
      </c>
      <c r="G117" s="53">
        <f t="shared" si="3"/>
        <v>0</v>
      </c>
      <c r="I117" s="100"/>
      <c r="J117" s="53">
        <f t="shared" si="8"/>
        <v>0</v>
      </c>
      <c r="K117" s="53">
        <f t="shared" si="9"/>
        <v>0</v>
      </c>
      <c r="L117" s="53">
        <f t="shared" si="6"/>
        <v>0</v>
      </c>
      <c r="M117" s="99"/>
      <c r="O117" s="98"/>
      <c r="P117" s="97"/>
    </row>
    <row r="118" spans="2:16" ht="17.25" customHeight="1">
      <c r="B118" s="103"/>
      <c r="E118" s="102" t="str">
        <f t="shared" si="7"/>
        <v/>
      </c>
      <c r="F118" s="101" t="str">
        <f t="shared" si="2"/>
        <v/>
      </c>
      <c r="G118" s="53">
        <f t="shared" si="3"/>
        <v>0</v>
      </c>
      <c r="I118" s="100"/>
      <c r="J118" s="53">
        <f t="shared" si="8"/>
        <v>0</v>
      </c>
      <c r="K118" s="53">
        <f t="shared" si="9"/>
        <v>0</v>
      </c>
      <c r="L118" s="53">
        <f t="shared" si="6"/>
        <v>0</v>
      </c>
      <c r="M118" s="99"/>
      <c r="O118" s="98"/>
      <c r="P118" s="97"/>
    </row>
    <row r="119" spans="2:16" ht="17.25" customHeight="1">
      <c r="B119" s="103"/>
      <c r="E119" s="102" t="str">
        <f t="shared" si="7"/>
        <v/>
      </c>
      <c r="F119" s="101" t="str">
        <f t="shared" si="2"/>
        <v/>
      </c>
      <c r="G119" s="53">
        <f t="shared" si="3"/>
        <v>0</v>
      </c>
      <c r="I119" s="100"/>
      <c r="J119" s="53">
        <f t="shared" si="8"/>
        <v>0</v>
      </c>
      <c r="K119" s="53">
        <f t="shared" si="9"/>
        <v>0</v>
      </c>
      <c r="L119" s="53">
        <f t="shared" si="6"/>
        <v>0</v>
      </c>
      <c r="M119" s="99"/>
      <c r="O119" s="98"/>
      <c r="P119" s="97"/>
    </row>
    <row r="120" spans="2:16" ht="17.25" customHeight="1">
      <c r="B120" s="103"/>
      <c r="E120" s="102" t="str">
        <f t="shared" si="7"/>
        <v/>
      </c>
      <c r="F120" s="101" t="str">
        <f t="shared" si="2"/>
        <v/>
      </c>
      <c r="G120" s="53">
        <f t="shared" si="3"/>
        <v>0</v>
      </c>
      <c r="I120" s="100"/>
      <c r="J120" s="53">
        <f t="shared" si="8"/>
        <v>0</v>
      </c>
      <c r="K120" s="53">
        <f t="shared" si="9"/>
        <v>0</v>
      </c>
      <c r="L120" s="53">
        <f t="shared" si="6"/>
        <v>0</v>
      </c>
      <c r="M120" s="99"/>
      <c r="O120" s="98"/>
      <c r="P120" s="97"/>
    </row>
    <row r="121" spans="2:16" ht="17.25" customHeight="1">
      <c r="B121" s="103"/>
      <c r="E121" s="102" t="str">
        <f t="shared" si="7"/>
        <v/>
      </c>
      <c r="F121" s="101" t="str">
        <f t="shared" si="2"/>
        <v/>
      </c>
      <c r="G121" s="53">
        <f t="shared" si="3"/>
        <v>0</v>
      </c>
      <c r="I121" s="100"/>
      <c r="J121" s="53">
        <f t="shared" si="8"/>
        <v>0</v>
      </c>
      <c r="K121" s="53">
        <f t="shared" si="9"/>
        <v>0</v>
      </c>
      <c r="L121" s="53">
        <f t="shared" si="6"/>
        <v>0</v>
      </c>
      <c r="M121" s="99"/>
      <c r="O121" s="98"/>
      <c r="P121" s="97"/>
    </row>
    <row r="122" spans="2:16" ht="17.25" customHeight="1">
      <c r="B122" s="103"/>
      <c r="E122" s="102" t="str">
        <f t="shared" si="7"/>
        <v/>
      </c>
      <c r="F122" s="101" t="str">
        <f t="shared" si="2"/>
        <v/>
      </c>
      <c r="G122" s="53">
        <f t="shared" si="3"/>
        <v>0</v>
      </c>
      <c r="I122" s="100"/>
      <c r="J122" s="53">
        <f t="shared" si="8"/>
        <v>0</v>
      </c>
      <c r="K122" s="53">
        <f t="shared" si="9"/>
        <v>0</v>
      </c>
      <c r="L122" s="53">
        <f t="shared" si="6"/>
        <v>0</v>
      </c>
      <c r="M122" s="99"/>
      <c r="O122" s="98"/>
      <c r="P122" s="97"/>
    </row>
    <row r="123" spans="2:16" ht="17.25" customHeight="1">
      <c r="B123" s="103"/>
      <c r="E123" s="102" t="str">
        <f t="shared" si="7"/>
        <v/>
      </c>
      <c r="F123" s="101" t="str">
        <f t="shared" si="2"/>
        <v/>
      </c>
      <c r="G123" s="53">
        <f t="shared" si="3"/>
        <v>0</v>
      </c>
      <c r="I123" s="100"/>
      <c r="J123" s="53">
        <f t="shared" si="8"/>
        <v>0</v>
      </c>
      <c r="K123" s="53">
        <f t="shared" si="9"/>
        <v>0</v>
      </c>
      <c r="L123" s="53">
        <f t="shared" si="6"/>
        <v>0</v>
      </c>
      <c r="M123" s="99"/>
      <c r="O123" s="98"/>
      <c r="P123" s="97"/>
    </row>
    <row r="124" spans="2:16" ht="7.5" customHeight="1">
      <c r="B124" s="96"/>
      <c r="C124" s="95"/>
      <c r="D124" s="95"/>
      <c r="E124" s="95"/>
      <c r="F124" s="95"/>
      <c r="G124" s="95"/>
      <c r="H124" s="95"/>
      <c r="I124" s="95"/>
      <c r="J124" s="95"/>
      <c r="K124" s="95"/>
      <c r="L124" s="95"/>
      <c r="M124" s="94"/>
    </row>
    <row r="125" spans="2:16" ht="12.75" customHeight="1"/>
    <row r="126" spans="2:16" hidden="1">
      <c r="E126" s="93" t="s">
        <v>137</v>
      </c>
      <c r="F126" s="92"/>
    </row>
    <row r="127" spans="2:16" hidden="1">
      <c r="E127" s="91" t="s">
        <v>136</v>
      </c>
      <c r="F127" s="91" t="s">
        <v>134</v>
      </c>
      <c r="G127" s="91" t="s">
        <v>136</v>
      </c>
      <c r="H127" s="91" t="s">
        <v>135</v>
      </c>
      <c r="I127" s="91" t="s">
        <v>134</v>
      </c>
      <c r="J127" s="91" t="s">
        <v>133</v>
      </c>
    </row>
    <row r="128" spans="2:16" hidden="1">
      <c r="E128" s="91"/>
      <c r="F128" s="91"/>
      <c r="G128" s="89">
        <f t="shared" ref="G128:G140" si="10">IF(E99="","",YEAR(E99))</f>
        <v>2024</v>
      </c>
      <c r="H128" s="89">
        <f>IF(E99="","",IF($J$41&gt;0,1,IF(J40="year of Loan",0,0)))</f>
        <v>1</v>
      </c>
      <c r="I128" s="90">
        <f t="shared" ref="I128:I153" si="11">IF(G128&gt;$E$141,$F$141,INDEX($F$129:$F$141,MATCH(G128,$E$129:$E$141,0)))</f>
        <v>8.2699999999999996E-2</v>
      </c>
      <c r="J128" s="89">
        <f>IFERROR(IF(MOD((YEAR(E99)),4)=3,366,365),"")</f>
        <v>365</v>
      </c>
    </row>
    <row r="129" spans="5:10" hidden="1">
      <c r="E129" s="89">
        <f t="shared" ref="E129:E141" si="12">YEAR(I17)</f>
        <v>2013</v>
      </c>
      <c r="F129" s="90">
        <f t="shared" ref="F129:F141" si="13">J17</f>
        <v>7.0499999999999993E-2</v>
      </c>
      <c r="G129" s="89">
        <f t="shared" si="10"/>
        <v>2025</v>
      </c>
      <c r="H129" s="89">
        <f t="shared" ref="H129:H140" si="14">IF(E100="","",H128+1)</f>
        <v>2</v>
      </c>
      <c r="I129" s="90">
        <f t="shared" si="11"/>
        <v>8.77E-2</v>
      </c>
      <c r="J129" s="89">
        <f t="shared" ref="J129:J140" si="15">IFERROR(IF(MOD((YEAR(E99)),4)=3,366,365),"")</f>
        <v>365</v>
      </c>
    </row>
    <row r="130" spans="5:10" hidden="1">
      <c r="E130" s="89">
        <f t="shared" si="12"/>
        <v>2014</v>
      </c>
      <c r="F130" s="90">
        <f t="shared" si="13"/>
        <v>6.2E-2</v>
      </c>
      <c r="G130" s="89">
        <f t="shared" si="10"/>
        <v>2026</v>
      </c>
      <c r="H130" s="89">
        <f t="shared" si="14"/>
        <v>3</v>
      </c>
      <c r="I130" s="90">
        <f t="shared" si="11"/>
        <v>8.77E-2</v>
      </c>
      <c r="J130" s="89">
        <f t="shared" si="15"/>
        <v>365</v>
      </c>
    </row>
    <row r="131" spans="5:10" hidden="1">
      <c r="E131" s="89">
        <f t="shared" si="12"/>
        <v>2015</v>
      </c>
      <c r="F131" s="90">
        <f t="shared" si="13"/>
        <v>5.9499999999999997E-2</v>
      </c>
      <c r="G131" s="89">
        <f t="shared" si="10"/>
        <v>2027</v>
      </c>
      <c r="H131" s="89">
        <f t="shared" si="14"/>
        <v>4</v>
      </c>
      <c r="I131" s="90">
        <f t="shared" si="11"/>
        <v>8.77E-2</v>
      </c>
      <c r="J131" s="89">
        <f t="shared" si="15"/>
        <v>365</v>
      </c>
    </row>
    <row r="132" spans="5:10" hidden="1">
      <c r="E132" s="89">
        <f t="shared" si="12"/>
        <v>2016</v>
      </c>
      <c r="F132" s="90">
        <f t="shared" si="13"/>
        <v>5.45E-2</v>
      </c>
      <c r="G132" s="89">
        <f t="shared" si="10"/>
        <v>2028</v>
      </c>
      <c r="H132" s="89">
        <f t="shared" si="14"/>
        <v>5</v>
      </c>
      <c r="I132" s="90">
        <f t="shared" si="11"/>
        <v>8.77E-2</v>
      </c>
      <c r="J132" s="89">
        <f t="shared" si="15"/>
        <v>366</v>
      </c>
    </row>
    <row r="133" spans="5:10" hidden="1">
      <c r="E133" s="89">
        <f t="shared" si="12"/>
        <v>2017</v>
      </c>
      <c r="F133" s="90">
        <f t="shared" si="13"/>
        <v>5.3999999999999999E-2</v>
      </c>
      <c r="G133" s="89">
        <f t="shared" si="10"/>
        <v>2029</v>
      </c>
      <c r="H133" s="89">
        <f t="shared" si="14"/>
        <v>6</v>
      </c>
      <c r="I133" s="90">
        <f t="shared" si="11"/>
        <v>8.77E-2</v>
      </c>
      <c r="J133" s="89">
        <f t="shared" si="15"/>
        <v>365</v>
      </c>
    </row>
    <row r="134" spans="5:10" hidden="1">
      <c r="E134" s="89">
        <f t="shared" si="12"/>
        <v>2018</v>
      </c>
      <c r="F134" s="90">
        <f t="shared" si="13"/>
        <v>5.2999999999999999E-2</v>
      </c>
      <c r="G134" s="89" t="str">
        <f t="shared" si="10"/>
        <v/>
      </c>
      <c r="H134" s="89" t="str">
        <f t="shared" si="14"/>
        <v/>
      </c>
      <c r="I134" s="90">
        <f t="shared" si="11"/>
        <v>8.77E-2</v>
      </c>
      <c r="J134" s="89">
        <f t="shared" si="15"/>
        <v>365</v>
      </c>
    </row>
    <row r="135" spans="5:10" hidden="1">
      <c r="E135" s="89">
        <f t="shared" si="12"/>
        <v>2019</v>
      </c>
      <c r="F135" s="90">
        <f t="shared" si="13"/>
        <v>5.1999999999999998E-2</v>
      </c>
      <c r="G135" s="89" t="str">
        <f t="shared" si="10"/>
        <v/>
      </c>
      <c r="H135" s="89" t="str">
        <f t="shared" si="14"/>
        <v/>
      </c>
      <c r="I135" s="90">
        <f t="shared" si="11"/>
        <v>8.77E-2</v>
      </c>
      <c r="J135" s="89" t="str">
        <f t="shared" si="15"/>
        <v/>
      </c>
    </row>
    <row r="136" spans="5:10" hidden="1">
      <c r="E136" s="89">
        <f t="shared" si="12"/>
        <v>2020</v>
      </c>
      <c r="F136" s="90">
        <f t="shared" si="13"/>
        <v>5.3699999999999998E-2</v>
      </c>
      <c r="G136" s="89" t="str">
        <f t="shared" si="10"/>
        <v/>
      </c>
      <c r="H136" s="89" t="str">
        <f t="shared" si="14"/>
        <v/>
      </c>
      <c r="I136" s="90">
        <f t="shared" si="11"/>
        <v>8.77E-2</v>
      </c>
      <c r="J136" s="89" t="str">
        <f t="shared" si="15"/>
        <v/>
      </c>
    </row>
    <row r="137" spans="5:10" hidden="1">
      <c r="E137" s="89">
        <f t="shared" si="12"/>
        <v>2021</v>
      </c>
      <c r="F137" s="90">
        <f t="shared" si="13"/>
        <v>4.5199999999999997E-2</v>
      </c>
      <c r="G137" s="89" t="str">
        <f t="shared" si="10"/>
        <v/>
      </c>
      <c r="H137" s="89" t="str">
        <f t="shared" si="14"/>
        <v/>
      </c>
      <c r="I137" s="90">
        <f t="shared" si="11"/>
        <v>8.77E-2</v>
      </c>
      <c r="J137" s="89" t="str">
        <f t="shared" si="15"/>
        <v/>
      </c>
    </row>
    <row r="138" spans="5:10" hidden="1">
      <c r="E138" s="89">
        <f t="shared" si="12"/>
        <v>2022</v>
      </c>
      <c r="F138" s="90">
        <f t="shared" si="13"/>
        <v>4.5199999999999997E-2</v>
      </c>
      <c r="G138" s="89" t="str">
        <f t="shared" si="10"/>
        <v/>
      </c>
      <c r="H138" s="89" t="str">
        <f t="shared" si="14"/>
        <v/>
      </c>
      <c r="I138" s="90">
        <f t="shared" si="11"/>
        <v>8.77E-2</v>
      </c>
      <c r="J138" s="89" t="str">
        <f t="shared" si="15"/>
        <v/>
      </c>
    </row>
    <row r="139" spans="5:10" hidden="1">
      <c r="E139" s="89">
        <f t="shared" si="12"/>
        <v>2023</v>
      </c>
      <c r="F139" s="90">
        <f t="shared" si="13"/>
        <v>4.7699999999999999E-2</v>
      </c>
      <c r="G139" s="89" t="str">
        <f t="shared" si="10"/>
        <v/>
      </c>
      <c r="H139" s="89" t="str">
        <f t="shared" si="14"/>
        <v/>
      </c>
      <c r="I139" s="90">
        <f t="shared" si="11"/>
        <v>8.77E-2</v>
      </c>
      <c r="J139" s="89" t="str">
        <f t="shared" si="15"/>
        <v/>
      </c>
    </row>
    <row r="140" spans="5:10" hidden="1">
      <c r="E140" s="89">
        <f t="shared" si="12"/>
        <v>2024</v>
      </c>
      <c r="F140" s="90">
        <f t="shared" si="13"/>
        <v>8.2699999999999996E-2</v>
      </c>
      <c r="G140" s="89" t="str">
        <f t="shared" si="10"/>
        <v/>
      </c>
      <c r="H140" s="89" t="str">
        <f t="shared" si="14"/>
        <v/>
      </c>
      <c r="I140" s="90">
        <f t="shared" si="11"/>
        <v>8.77E-2</v>
      </c>
      <c r="J140" s="89" t="str">
        <f t="shared" si="15"/>
        <v/>
      </c>
    </row>
    <row r="141" spans="5:10" hidden="1">
      <c r="E141" s="89">
        <f t="shared" si="12"/>
        <v>2025</v>
      </c>
      <c r="F141" s="90">
        <f t="shared" si="13"/>
        <v>8.77E-2</v>
      </c>
      <c r="G141" s="89" t="str">
        <f t="shared" ref="G141:G153" si="16">IF(E111="","",YEAR(E111))</f>
        <v/>
      </c>
      <c r="H141" s="89" t="str">
        <f>IF(E111="","",H139+1)</f>
        <v/>
      </c>
      <c r="I141" s="90">
        <f t="shared" si="11"/>
        <v>8.77E-2</v>
      </c>
      <c r="J141" s="89" t="str">
        <f t="shared" ref="J141:J153" si="17">IFERROR(IF(MOD((YEAR(E110)),4)=3,366,365),"")</f>
        <v/>
      </c>
    </row>
    <row r="142" spans="5:10" hidden="1">
      <c r="G142" s="89" t="str">
        <f t="shared" si="16"/>
        <v/>
      </c>
      <c r="H142" s="89" t="str">
        <f t="shared" ref="H142:H153" si="18">IF(E112="","",H141+1)</f>
        <v/>
      </c>
      <c r="I142" s="90">
        <f t="shared" si="11"/>
        <v>8.77E-2</v>
      </c>
      <c r="J142" s="89" t="str">
        <f t="shared" si="17"/>
        <v/>
      </c>
    </row>
    <row r="143" spans="5:10" hidden="1">
      <c r="G143" s="89" t="str">
        <f t="shared" si="16"/>
        <v/>
      </c>
      <c r="H143" s="89" t="str">
        <f t="shared" si="18"/>
        <v/>
      </c>
      <c r="I143" s="90">
        <f t="shared" si="11"/>
        <v>8.77E-2</v>
      </c>
      <c r="J143" s="89" t="str">
        <f t="shared" si="17"/>
        <v/>
      </c>
    </row>
    <row r="144" spans="5:10" hidden="1">
      <c r="G144" s="89" t="str">
        <f t="shared" si="16"/>
        <v/>
      </c>
      <c r="H144" s="89" t="str">
        <f t="shared" si="18"/>
        <v/>
      </c>
      <c r="I144" s="90">
        <f t="shared" si="11"/>
        <v>8.77E-2</v>
      </c>
      <c r="J144" s="89" t="str">
        <f t="shared" si="17"/>
        <v/>
      </c>
    </row>
    <row r="145" spans="7:10" hidden="1">
      <c r="G145" s="89" t="str">
        <f t="shared" si="16"/>
        <v/>
      </c>
      <c r="H145" s="89" t="str">
        <f t="shared" si="18"/>
        <v/>
      </c>
      <c r="I145" s="90">
        <f t="shared" si="11"/>
        <v>8.77E-2</v>
      </c>
      <c r="J145" s="89" t="str">
        <f t="shared" si="17"/>
        <v/>
      </c>
    </row>
    <row r="146" spans="7:10" hidden="1">
      <c r="G146" s="89" t="str">
        <f t="shared" si="16"/>
        <v/>
      </c>
      <c r="H146" s="89" t="str">
        <f t="shared" si="18"/>
        <v/>
      </c>
      <c r="I146" s="90">
        <f t="shared" si="11"/>
        <v>8.77E-2</v>
      </c>
      <c r="J146" s="89" t="str">
        <f t="shared" si="17"/>
        <v/>
      </c>
    </row>
    <row r="147" spans="7:10" hidden="1">
      <c r="G147" s="89" t="str">
        <f t="shared" si="16"/>
        <v/>
      </c>
      <c r="H147" s="89" t="str">
        <f t="shared" si="18"/>
        <v/>
      </c>
      <c r="I147" s="90">
        <f t="shared" si="11"/>
        <v>8.77E-2</v>
      </c>
      <c r="J147" s="89" t="str">
        <f t="shared" si="17"/>
        <v/>
      </c>
    </row>
    <row r="148" spans="7:10" hidden="1">
      <c r="G148" s="89" t="str">
        <f t="shared" si="16"/>
        <v/>
      </c>
      <c r="H148" s="89" t="str">
        <f t="shared" si="18"/>
        <v/>
      </c>
      <c r="I148" s="90">
        <f t="shared" si="11"/>
        <v>8.77E-2</v>
      </c>
      <c r="J148" s="89" t="str">
        <f t="shared" si="17"/>
        <v/>
      </c>
    </row>
    <row r="149" spans="7:10" hidden="1">
      <c r="G149" s="89" t="str">
        <f t="shared" si="16"/>
        <v/>
      </c>
      <c r="H149" s="89" t="str">
        <f t="shared" si="18"/>
        <v/>
      </c>
      <c r="I149" s="90">
        <f t="shared" si="11"/>
        <v>8.77E-2</v>
      </c>
      <c r="J149" s="89" t="str">
        <f t="shared" si="17"/>
        <v/>
      </c>
    </row>
    <row r="150" spans="7:10" hidden="1">
      <c r="G150" s="89" t="str">
        <f t="shared" si="16"/>
        <v/>
      </c>
      <c r="H150" s="89" t="str">
        <f t="shared" si="18"/>
        <v/>
      </c>
      <c r="I150" s="90">
        <f t="shared" si="11"/>
        <v>8.77E-2</v>
      </c>
      <c r="J150" s="89" t="str">
        <f t="shared" si="17"/>
        <v/>
      </c>
    </row>
    <row r="151" spans="7:10" hidden="1">
      <c r="G151" s="89" t="str">
        <f t="shared" si="16"/>
        <v/>
      </c>
      <c r="H151" s="89" t="str">
        <f t="shared" si="18"/>
        <v/>
      </c>
      <c r="I151" s="90">
        <f t="shared" si="11"/>
        <v>8.77E-2</v>
      </c>
      <c r="J151" s="89" t="str">
        <f t="shared" si="17"/>
        <v/>
      </c>
    </row>
    <row r="152" spans="7:10" hidden="1">
      <c r="G152" s="89" t="str">
        <f t="shared" si="16"/>
        <v/>
      </c>
      <c r="H152" s="89" t="str">
        <f t="shared" si="18"/>
        <v/>
      </c>
      <c r="I152" s="90">
        <f t="shared" si="11"/>
        <v>8.77E-2</v>
      </c>
      <c r="J152" s="89" t="str">
        <f t="shared" si="17"/>
        <v/>
      </c>
    </row>
    <row r="153" spans="7:10" hidden="1">
      <c r="G153" s="89" t="str">
        <f t="shared" si="16"/>
        <v/>
      </c>
      <c r="H153" s="89" t="str">
        <f t="shared" si="18"/>
        <v/>
      </c>
      <c r="I153" s="90">
        <f t="shared" si="11"/>
        <v>8.77E-2</v>
      </c>
      <c r="J153" s="89" t="str">
        <f t="shared" si="17"/>
        <v/>
      </c>
    </row>
    <row r="154" spans="7:10">
      <c r="G154" s="88"/>
      <c r="H154" s="88"/>
    </row>
    <row r="155" spans="7:10">
      <c r="G155" s="88"/>
      <c r="H155" s="88"/>
    </row>
    <row r="156" spans="7:10">
      <c r="H156" s="88"/>
    </row>
    <row r="157" spans="7:10">
      <c r="H157" s="88"/>
    </row>
    <row r="158" spans="7:10">
      <c r="H158" s="88"/>
    </row>
    <row r="159" spans="7:10">
      <c r="H159" s="88"/>
    </row>
    <row r="160" spans="7:10">
      <c r="H160" s="88"/>
    </row>
    <row r="161" spans="8:8">
      <c r="H161" s="88"/>
    </row>
    <row r="162" spans="8:8">
      <c r="H162" s="88"/>
    </row>
    <row r="163" spans="8:8">
      <c r="H163" s="88"/>
    </row>
    <row r="164" spans="8:8">
      <c r="H164" s="88"/>
    </row>
    <row r="165" spans="8:8">
      <c r="H165" s="88"/>
    </row>
  </sheetData>
  <sheetProtection sheet="1" formatCells="0" formatColumns="0" formatRows="0" insertColumns="0" insertRows="0" insertHyperlinks="0"/>
  <mergeCells count="41">
    <mergeCell ref="E97:F97"/>
    <mergeCell ref="E57:L57"/>
    <mergeCell ref="G62:I62"/>
    <mergeCell ref="E95:L95"/>
    <mergeCell ref="B55:H55"/>
    <mergeCell ref="B93:H93"/>
    <mergeCell ref="E6:H6"/>
    <mergeCell ref="C10:L10"/>
    <mergeCell ref="K34:M34"/>
    <mergeCell ref="O6:P6"/>
    <mergeCell ref="E4:I4"/>
    <mergeCell ref="E5:I5"/>
    <mergeCell ref="F34:J34"/>
    <mergeCell ref="O32:P32"/>
    <mergeCell ref="B15:H15"/>
    <mergeCell ref="B32:H32"/>
    <mergeCell ref="K46:L46"/>
    <mergeCell ref="E35:H35"/>
    <mergeCell ref="E42:H42"/>
    <mergeCell ref="E58:L58"/>
    <mergeCell ref="F11:L11"/>
    <mergeCell ref="F12:L12"/>
    <mergeCell ref="F13:L13"/>
    <mergeCell ref="E36:H36"/>
    <mergeCell ref="E37:H37"/>
    <mergeCell ref="E38:H38"/>
    <mergeCell ref="E39:H39"/>
    <mergeCell ref="E40:H40"/>
    <mergeCell ref="E41:H41"/>
    <mergeCell ref="K48:L48"/>
    <mergeCell ref="K43:L43"/>
    <mergeCell ref="E52:H52"/>
    <mergeCell ref="E46:H46"/>
    <mergeCell ref="E47:H47"/>
    <mergeCell ref="E48:H48"/>
    <mergeCell ref="E49:H49"/>
    <mergeCell ref="E50:H50"/>
    <mergeCell ref="E43:H43"/>
    <mergeCell ref="E44:H44"/>
    <mergeCell ref="E45:H45"/>
    <mergeCell ref="E51:H51"/>
  </mergeCells>
  <conditionalFormatting sqref="F63:F88">
    <cfRule type="cellIs" dxfId="40" priority="21" stopIfTrue="1" operator="equal">
      <formula>0</formula>
    </cfRule>
    <cfRule type="cellIs" dxfId="39" priority="22" stopIfTrue="1" operator="lessThan">
      <formula>$F$62</formula>
    </cfRule>
    <cfRule type="cellIs" dxfId="38" priority="23" stopIfTrue="1" operator="greaterThan">
      <formula>$E$6</formula>
    </cfRule>
  </conditionalFormatting>
  <conditionalFormatting sqref="J41">
    <cfRule type="expression" dxfId="37" priority="3">
      <formula>$J$40="Year of Loan"</formula>
    </cfRule>
  </conditionalFormatting>
  <conditionalFormatting sqref="J44:J45">
    <cfRule type="expression" dxfId="36" priority="1">
      <formula>$J$40="Year of Loan"</formula>
    </cfRule>
  </conditionalFormatting>
  <conditionalFormatting sqref="J47">
    <cfRule type="cellIs" dxfId="35" priority="8" stopIfTrue="1" operator="equal">
      <formula>"Credit Account"</formula>
    </cfRule>
  </conditionalFormatting>
  <conditionalFormatting sqref="J48">
    <cfRule type="expression" dxfId="34" priority="2">
      <formula>$J$40="Year of Loan"</formula>
    </cfRule>
  </conditionalFormatting>
  <conditionalFormatting sqref="J50">
    <cfRule type="expression" dxfId="33" priority="24">
      <formula>J53="Reconciled"</formula>
    </cfRule>
    <cfRule type="expression" dxfId="32" priority="25">
      <formula>J53="Out of Balance"</formula>
    </cfRule>
  </conditionalFormatting>
  <conditionalFormatting sqref="J51">
    <cfRule type="expression" dxfId="31" priority="26">
      <formula>J53="Reconciled"</formula>
    </cfRule>
    <cfRule type="expression" dxfId="30" priority="27">
      <formula>J53="Out of Balance"</formula>
    </cfRule>
  </conditionalFormatting>
  <conditionalFormatting sqref="J52">
    <cfRule type="expression" dxfId="29" priority="28">
      <formula>J53="Reconciled"</formula>
    </cfRule>
    <cfRule type="expression" dxfId="28" priority="29">
      <formula>J53="Out of Balance"</formula>
    </cfRule>
  </conditionalFormatting>
  <conditionalFormatting sqref="K5:K6 J7">
    <cfRule type="cellIs" dxfId="27" priority="11" operator="equal">
      <formula>"Partner Approved"</formula>
    </cfRule>
    <cfRule type="cellIs" dxfId="26" priority="12" operator="equal">
      <formula>"Reviewed"</formula>
    </cfRule>
    <cfRule type="cellIs" dxfId="25" priority="13" operator="equal">
      <formula>"Rework Complete"</formula>
    </cfRule>
    <cfRule type="cellIs" dxfId="24" priority="14" operator="equal">
      <formula>"Client Query"</formula>
    </cfRule>
    <cfRule type="cellIs" dxfId="23" priority="15" operator="equal">
      <formula>"Started"</formula>
    </cfRule>
    <cfRule type="cellIs" dxfId="22" priority="16" operator="equal">
      <formula>"Ready for Review"</formula>
    </cfRule>
    <cfRule type="cellIs" dxfId="21" priority="17" operator="equal">
      <formula>"Rework Required"</formula>
    </cfRule>
    <cfRule type="cellIs" dxfId="20" priority="18" operator="equal">
      <formula>"Complete"</formula>
    </cfRule>
  </conditionalFormatting>
  <conditionalFormatting sqref="K43:L43">
    <cfRule type="expression" dxfId="19" priority="4">
      <formula>$J$40="Year of Loan"</formula>
    </cfRule>
  </conditionalFormatting>
  <conditionalFormatting sqref="K46:L46">
    <cfRule type="cellIs" dxfId="18" priority="9" stopIfTrue="1" operator="equal">
      <formula>"Credit Account"</formula>
    </cfRule>
  </conditionalFormatting>
  <conditionalFormatting sqref="K48:L48">
    <cfRule type="expression" dxfId="17" priority="5">
      <formula>AND($J$40&lt;&gt;"Year of Loan",$J$48&gt;0)</formula>
    </cfRule>
  </conditionalFormatting>
  <conditionalFormatting sqref="L6">
    <cfRule type="expression" dxfId="16" priority="6">
      <formula>$J$53="Reconciled"</formula>
    </cfRule>
    <cfRule type="expression" dxfId="15" priority="7">
      <formula>$J$53="Out of Balance"</formula>
    </cfRule>
  </conditionalFormatting>
  <dataValidations count="8">
    <dataValidation allowBlank="1" showInputMessage="1" showErrorMessage="1" prompt="The earlier of the due date for lodgement and the date of lodgement for company's tax return for the applicable income year." sqref="J42" xr:uid="{1A4164A9-4682-4775-AE23-171A738774D9}"/>
    <dataValidation type="whole" operator="lessThanOrEqual" allowBlank="1" showInputMessage="1" showErrorMessage="1" error="Maximum term is 7 years for unsecured loans and 25 years for secured loans." sqref="J39" xr:uid="{F551D566-7EB5-4E72-A90E-7C3229CD827A}">
      <formula1>IF(J36="Unsecured",7,25)</formula1>
    </dataValidation>
    <dataValidation type="list" allowBlank="1" showInputMessage="1" showErrorMessage="1" sqref="J36" xr:uid="{B213D377-E953-4CB0-BFF2-B7D203C72938}">
      <formula1>"Secured,Unsecured"</formula1>
    </dataValidation>
    <dataValidation allowBlank="1" showInputMessage="1" showErrorMessage="1" prompt="The ATO interprets Div 7A to mean that repayments take effect at the beginning of the day of repayment. A repayment on 30 June should be entered in the table as normal. This row calculates interest from the last repayment to the end of 30 June." sqref="I89" xr:uid="{D58AD333-E62C-433B-A052-191F947CCBA0}"/>
    <dataValidation allowBlank="1" showInputMessage="1" showErrorMessage="1" prompt="As interest is not payable for the remainder of the year where a loan is fully repaid, there may be a shortfall compared to the minimum repayment.  That under-repayment does not breach Division 7A and can be ignored." sqref="I99" xr:uid="{CE4CB806-84D1-4450-B6B6-D71BE17C26BA}"/>
    <dataValidation allowBlank="1" showInputMessage="1" showErrorMessage="1" prompt="If the loan is an existing loan at the beginning of the year, any drawdowns will become a new loan. Use these cells for new loans only._x000a_" sqref="G63:G88" xr:uid="{81F96081-E0ED-4594-B861-5E238F3C6B68}"/>
    <dataValidation allowBlank="1" showInputMessage="1" showErrorMessage="1" prompt="If the loan is repaid in full before the end of the year, the minimum repayment is the principal plus interest calculated to the date of the repayment. That amount will be less than the amount shown here." sqref="J44" xr:uid="{04C31422-A90D-4EB0-BA03-6FDFCC120342}"/>
    <dataValidation type="list" allowBlank="1" showInputMessage="1" showErrorMessage="1" sqref="I34:J34 F34:H35" xr:uid="{D4658813-3572-4924-801E-3191BAEB732A}">
      <formula1>CategoryList</formula1>
    </dataValidation>
  </dataValidations>
  <hyperlinks>
    <hyperlink ref="L4" location="'G31 Div 7A Loan Calculator'!Go_Index" tooltip="Go to Record" display="Show Record" xr:uid="{57770213-CC2B-410A-989D-8CFD7BBAB07C}"/>
    <hyperlink ref="O6" location="'G31 Div 7A Loan Calculator'!Go_RefreshSummary" tooltip="Refresh Summary" display="Refresh" xr:uid="{F3526B21-6E7E-426C-A888-3D333975F2E2}"/>
    <hyperlink ref="F11:L11" r:id="rId1" tooltip="Go to ITAA Act 1936 s109R" display="ATO Section 109R Some Payments Relating to Loans not Taken into Account" xr:uid="{47260A3B-87FF-44BA-8928-D30E4464D27B}"/>
    <hyperlink ref="F12:L12" r:id="rId2" tooltip="Go to ATO website" display="ATO Division 7A and trusts" xr:uid="{C6DB9D09-8629-461A-93D5-2356C27B4759}"/>
    <hyperlink ref="F13:L13" r:id="rId3" tooltip="Go to ATO website" display="ATO Division 7A calculator and decision tool" xr:uid="{6B7F6CA9-CFAD-478D-841B-233AE9CC7009}"/>
    <hyperlink ref="A15:G15" location="'G31 Div 7A Loan Calculator'!Go_RollUp_03" tooltip="Show/hide cells" display="'Div 7A Calculator'!Go_RollUp_03" xr:uid="{C7970256-4BAC-4E94-88C2-4557A91E3A67}"/>
    <hyperlink ref="A55:G55" location="'G31 Div 7A Loan Calculator'!Go_RollUp_06" tooltip="Show/hide cells" display="'Div 7A Calculator'!Go_RollUp_06" xr:uid="{2CD8CDE9-63F3-4AF0-A824-D6830F26D108}"/>
    <hyperlink ref="A93:G93" location="'G31 Div 7A Loan Calculator'!Go_RollUp_07" tooltip="Show/hide cells" display="'Div 7A Calculator'!Go_RollUp_07" xr:uid="{0E8F8E9C-5C6F-44E2-8929-8581EC1F648B}"/>
    <hyperlink ref="A10" location="'G31 Div 7A Loan Calculator'!Go_RollUp_01" tooltip="Show/hide" display="'Div 7A Calculator'!Go_RollUp_01" xr:uid="{0602E94A-D76B-4576-8C23-10F11654C4BB}"/>
    <hyperlink ref="L6" location="'G31 Div 7A Loan Calculator'!Go_Variance_01" tooltip="Go to Reconciliation" display="'Div 7A Calculator'!Go_Variance_01" xr:uid="{F62F6787-C269-47BE-BDC6-695F5F51EC1A}"/>
    <hyperlink ref="O6:P6" location="'G31 Div 7A Loan Calculator'!Go_RefreshSummary" tooltip="Refresh the G32 Division 7A Summary worksheet" display="P Refresh" xr:uid="{5B883CA3-56D0-4883-9BA8-4619AF1E41B0}"/>
  </hyperlinks>
  <pageMargins left="0.74803149606299213" right="0.74803149606299213" top="0.98425196850393704" bottom="0.98425196850393704" header="0.51181102362204722" footer="0.51181102362204722"/>
  <pageSetup paperSize="9" scale="59" fitToHeight="3" orientation="portrait" horizontalDpi="300" verticalDpi="300" r:id="rId4"/>
  <headerFooter alignWithMargins="0">
    <oddFooter>&amp;L&amp;F
Copyright(c) 2005-Present Business Fitness Pty Ltd&amp;R&amp;A  Page   &amp;"Arial,Regular"&amp;P</oddFooter>
  </headerFooter>
  <rowBreaks count="2" manualBreakCount="2">
    <brk id="54" min="1" max="11" man="1"/>
    <brk id="92" min="1" max="11" man="1"/>
  </rowBreaks>
  <customProperties>
    <customPr name="SheetId" r:id="rId5"/>
    <customPr name="SheetName" r:id="rId6"/>
  </customProperties>
  <extLst>
    <ext xmlns:x15="http://schemas.microsoft.com/office/spreadsheetml/2010/11/main" uri="{F7C9EE02-42E1-4005-9D12-6889AFFD525C}">
      <x15:webExtensions xmlns:xm="http://schemas.microsoft.com/office/excel/2006/main">
        <x15:webExtension appRef="{B0E9F1E3-C798-4678-A7B5-674CF79B0CDD}">
          <xm:f>'G31 Div 7A Loan Calculator'!G31_LoanBalance</xm:f>
        </x15:webExtension>
        <x15:webExtension appRef="{95A8F76D-F23D-4579-B350-8FA691E94260}">
          <xm:f>'G31 Div 7A Loan Calculator'!Reconcile_LoanBalance</xm:f>
        </x15:webExtension>
      </x15:webExtens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6F883-39EF-4644-BCF6-85D21580B6B9}">
  <sheetPr>
    <tabColor theme="0" tint="-0.14999847407452621"/>
    <pageSetUpPr fitToPage="1"/>
  </sheetPr>
  <dimension ref="A1:V92"/>
  <sheetViews>
    <sheetView showGridLines="0" tabSelected="1" topLeftCell="A10" zoomScaleNormal="100" workbookViewId="0">
      <selection activeCell="L71" sqref="L71:M71"/>
    </sheetView>
  </sheetViews>
  <sheetFormatPr defaultColWidth="9.140625" defaultRowHeight="15"/>
  <cols>
    <col min="1" max="1" width="4.28515625" style="18" customWidth="1"/>
    <col min="2" max="2" width="1.42578125" style="18" customWidth="1"/>
    <col min="3" max="3" width="42.7109375" style="18" customWidth="1"/>
    <col min="4" max="4" width="4.28515625" style="18" customWidth="1"/>
    <col min="5" max="6" width="7.140625" style="18" hidden="1" customWidth="1"/>
    <col min="7" max="10" width="15.7109375" style="18" customWidth="1"/>
    <col min="11" max="11" width="2.28515625" style="18" customWidth="1"/>
    <col min="12" max="13" width="15.7109375" style="18" customWidth="1"/>
    <col min="14" max="14" width="1.42578125" style="18" customWidth="1"/>
    <col min="15" max="15" width="4.28515625" style="18" customWidth="1"/>
    <col min="16" max="17" width="15.7109375" style="19" customWidth="1"/>
    <col min="18" max="21" width="9.140625" style="18"/>
    <col min="22" max="22" width="9.140625" style="18" hidden="1" customWidth="1"/>
    <col min="23" max="16384" width="9.140625" style="18"/>
  </cols>
  <sheetData>
    <row r="1" spans="1:22" ht="21" hidden="1" customHeight="1">
      <c r="C1" s="80" t="s">
        <v>115</v>
      </c>
      <c r="D1" s="18" t="s">
        <v>114</v>
      </c>
      <c r="I1" s="79"/>
      <c r="L1" s="78" t="s">
        <v>113</v>
      </c>
      <c r="M1" s="18" t="str" cm="1">
        <f t="array" ref="M1">IFERROR(Tm_Jurisdiction,"AU")</f>
        <v>AU</v>
      </c>
      <c r="V1" s="77" t="s">
        <v>112</v>
      </c>
    </row>
    <row r="2" spans="1:22" ht="7.5" customHeight="1"/>
    <row r="3" spans="1:22" ht="24.95" customHeight="1">
      <c r="C3" s="76" t="s">
        <v>111</v>
      </c>
      <c r="M3" s="81" t="s">
        <v>116</v>
      </c>
      <c r="P3" s="75" t="s">
        <v>110</v>
      </c>
      <c r="Q3" s="74" t="s">
        <v>109</v>
      </c>
    </row>
    <row r="4" spans="1:22" ht="22.5" customHeight="1">
      <c r="C4" s="73" t="str">
        <f>_xlfn.TEXTJOIN(" ",1,IFERROR(_xlfn.SINGLE(Cl_Name),"Client Name"),IF(IFERROR(_xlfn.SINGLE(Cl_Code),"")="","","("&amp;_xlfn.SINGLE(Cl_Code)&amp;")"))</f>
        <v>Springrange Holdings Pty Ltd (MuM001)</v>
      </c>
    </row>
    <row r="5" spans="1:22" ht="22.5" customHeight="1">
      <c r="C5" s="72">
        <f>IFERROR(_xlfn.SINGLE(PeriodEndDate),DATE(1901,1,1))</f>
        <v>45473</v>
      </c>
    </row>
    <row r="6" spans="1:22" ht="7.5" customHeight="1">
      <c r="B6" s="71"/>
      <c r="C6" s="70"/>
      <c r="D6" s="70"/>
      <c r="E6" s="70"/>
      <c r="F6" s="70"/>
      <c r="G6" s="70"/>
      <c r="H6" s="70"/>
      <c r="I6" s="70"/>
      <c r="J6" s="70"/>
      <c r="K6" s="70"/>
      <c r="L6" s="70"/>
      <c r="M6" s="70"/>
      <c r="N6" s="70"/>
    </row>
    <row r="7" spans="1:22" ht="7.5" customHeight="1"/>
    <row r="8" spans="1:22" ht="17.25" customHeight="1">
      <c r="C8" s="241" t="s">
        <v>108</v>
      </c>
      <c r="D8" s="241"/>
      <c r="E8" s="241"/>
      <c r="F8" s="241"/>
      <c r="G8" s="241"/>
      <c r="H8" s="241"/>
      <c r="I8" s="241"/>
      <c r="J8" s="241"/>
      <c r="K8" s="241"/>
      <c r="L8" s="241"/>
      <c r="M8" s="241"/>
    </row>
    <row r="9" spans="1:22" ht="17.25" customHeight="1">
      <c r="C9" s="261" t="s">
        <v>107</v>
      </c>
      <c r="D9" s="261"/>
      <c r="E9" s="261"/>
      <c r="F9" s="261"/>
      <c r="G9" s="261"/>
      <c r="H9" s="261"/>
      <c r="I9" s="261"/>
      <c r="J9" s="261"/>
      <c r="K9" s="261"/>
      <c r="L9" s="261"/>
      <c r="M9" s="261"/>
    </row>
    <row r="10" spans="1:22" ht="21" customHeight="1">
      <c r="A10" s="69"/>
    </row>
    <row r="11" spans="1:22" ht="22.5" customHeight="1">
      <c r="B11" s="258" t="s">
        <v>106</v>
      </c>
      <c r="C11" s="259"/>
      <c r="D11" s="260"/>
      <c r="G11" s="68"/>
    </row>
    <row r="12" spans="1:22" s="62" customFormat="1" ht="7.5" customHeight="1">
      <c r="B12" s="64"/>
      <c r="C12" s="57"/>
      <c r="D12" s="57"/>
      <c r="E12" s="67"/>
      <c r="F12" s="67"/>
      <c r="G12" s="66"/>
      <c r="H12" s="66"/>
      <c r="I12" s="66"/>
      <c r="J12" s="66"/>
      <c r="K12" s="66"/>
      <c r="L12" s="66"/>
      <c r="M12" s="66"/>
      <c r="N12" s="65"/>
    </row>
    <row r="13" spans="1:22" s="62" customFormat="1" ht="22.5" customHeight="1">
      <c r="B13" s="64"/>
      <c r="C13" s="57"/>
      <c r="D13" s="57"/>
      <c r="E13" s="57"/>
      <c r="F13" s="57"/>
      <c r="G13" s="57"/>
      <c r="H13" s="57"/>
      <c r="I13" s="45" t="s">
        <v>105</v>
      </c>
      <c r="J13" s="44">
        <v>1</v>
      </c>
      <c r="K13" s="57"/>
      <c r="L13" s="264" t="s">
        <v>93</v>
      </c>
      <c r="M13" s="265"/>
      <c r="N13" s="63"/>
    </row>
    <row r="14" spans="1:22" s="62" customFormat="1" ht="7.5" customHeight="1">
      <c r="B14" s="64"/>
      <c r="C14" s="57"/>
      <c r="D14" s="57"/>
      <c r="E14" s="57"/>
      <c r="F14" s="57"/>
      <c r="G14" s="57"/>
      <c r="H14" s="57"/>
      <c r="I14" s="57"/>
      <c r="J14" s="57"/>
      <c r="K14" s="57"/>
      <c r="L14" s="57"/>
      <c r="M14" s="57"/>
      <c r="N14" s="63"/>
    </row>
    <row r="15" spans="1:22" ht="39" customHeight="1">
      <c r="B15" s="58"/>
      <c r="C15" s="61" t="s">
        <v>104</v>
      </c>
      <c r="D15" s="60"/>
      <c r="E15" s="60"/>
      <c r="F15" s="60"/>
      <c r="G15" s="60" t="s">
        <v>103</v>
      </c>
      <c r="H15" s="60" t="s">
        <v>102</v>
      </c>
      <c r="I15" s="60" t="s">
        <v>101</v>
      </c>
      <c r="J15" s="60" t="s">
        <v>100</v>
      </c>
      <c r="K15" s="60"/>
      <c r="L15" s="60" t="s">
        <v>99</v>
      </c>
      <c r="M15" s="59" t="s">
        <v>98</v>
      </c>
      <c r="N15" s="27"/>
      <c r="P15" s="262" t="s">
        <v>97</v>
      </c>
      <c r="Q15" s="263"/>
    </row>
    <row r="16" spans="1:22" ht="7.5" customHeight="1">
      <c r="B16" s="58"/>
      <c r="C16" s="57"/>
      <c r="D16" s="57"/>
      <c r="E16" s="57"/>
      <c r="F16" s="57"/>
      <c r="G16" s="57"/>
      <c r="H16" s="57"/>
      <c r="I16" s="57"/>
      <c r="J16" s="57"/>
      <c r="K16" s="57"/>
      <c r="L16" s="57"/>
      <c r="M16" s="57"/>
      <c r="N16" s="27"/>
    </row>
    <row r="17" spans="2:22" ht="17.25" customHeight="1">
      <c r="B17" s="31"/>
      <c r="C17" s="56" t="str" cm="1">
        <f t="array" aca="1" ref="C17" ca="1">IFERROR(_xlfn.UNIQUE(_xlfn._xlws.FILTER(INDIRECT("HNSW_Summary!$A:$A"),ISNUMBER(SEARCH("*G31",INDIRECT("HNSW_Summary!$B:$B")))+ISNUMBER(SEARCH("*D08",INDIRECT("HNSW_Summary!$B:$B"))))),"...")</f>
        <v>Director Loan - 2023</v>
      </c>
      <c r="D17" s="55" t="str">
        <f t="shared" ref="D17:D48" ca="1" si="0">IF(C17=E17, HYPERLINK("#'" &amp; VLOOKUP(C17,INDIRECT("HNSW_Summary!$A:$B"),2,0) &amp; "'!A1", "}"), "}")</f>
        <v>}</v>
      </c>
      <c r="E17" s="54" t="str">
        <f t="shared" ref="E17:E48" ca="1" si="1">VLOOKUP(C17,INDIRECT("HNSW_Summary!$A:$B"),1,0)</f>
        <v>Director Loan - 2023</v>
      </c>
      <c r="F17" s="53" t="str">
        <f t="shared" ref="F17:F48" ca="1" si="2">IFERROR(INDEX(INDIRECT("HNSW_Summary!A:Z"),MATCH(C17,INDIRECT("HNSW_Summary!A:A"), 0),MATCH("Director",INDIRECT("HNSW_Summary!1:1"),0)),"")</f>
        <v>Director A</v>
      </c>
      <c r="G17" s="53">
        <f t="shared" ref="G17:G48" ca="1" si="3">SUMIF(INDIRECT("HNSW_Summary!A:A"),C17,INDEX(INDIRECT("HNSW_Summary!A:Z"),0,MATCH("OpBalance",INDIRECT("HNSW_Summary!1:1"),0)))</f>
        <v>10000</v>
      </c>
      <c r="H17" s="53">
        <f t="shared" ref="H17:H48" ca="1" si="4">SUMIF(INDIRECT("HNSW_Summary!A:A"),C17,INDEX(INDIRECT("HNSW_Summary!A:Z"),0,MATCH("Repayments",INDIRECT("HNSW_Summary!1:1"),0)))</f>
        <v>0</v>
      </c>
      <c r="I17" s="53">
        <f t="shared" ref="I17:I48" ca="1" si="5">SUMIF(INDIRECT("HNSW_Summary!A:A"),C17,INDEX(INDIRECT("HNSW_Summary!A:Z"),0,MATCH("Interest",INDIRECT("HNSW_Summary!1:1"),0)))</f>
        <v>827</v>
      </c>
      <c r="J17" s="53">
        <f t="shared" ref="J17:J48" ca="1" si="6">SUMIF(INDIRECT("HNSW_Summary!A:A"),C17,INDEX(INDIRECT("HNSW_Summary!A:Z"),0,MATCH("ClBalance",INDIRECT("HNSW_Summary!1:1"),0)))</f>
        <v>10827</v>
      </c>
      <c r="K17" s="30"/>
      <c r="L17" s="53">
        <f t="shared" ref="L17:L48" ca="1" si="7">SUMIF(INDIRECT("HNSW_Summary!A:A"),C17,INDEX(INDIRECT("HNSW_Summary!A:Z"),0,MATCH("MinRepayments",INDIRECT("HNSW_Summary!1:1"),0)))</f>
        <v>2180.9</v>
      </c>
      <c r="M17" s="53">
        <f t="shared" ref="M17:M48" ca="1" si="8">SUMIF(INDIRECT("HNSW_Summary!A:A"),C17,INDEX(INDIRECT("HNSW_Summary!A:Z"),0,MATCH("UnderOver",INDIRECT("HNSW_Summary!1:1"),0)))</f>
        <v>-2180.9</v>
      </c>
      <c r="N17" s="27"/>
      <c r="P17" s="26"/>
      <c r="Q17" s="25"/>
      <c r="V17" s="18" t="b">
        <f>IF(D03_Number_of_Loans&gt;=1,FALSE,TRUE)</f>
        <v>0</v>
      </c>
    </row>
    <row r="18" spans="2:22" ht="17.25" hidden="1" customHeight="1">
      <c r="B18" s="31"/>
      <c r="C18" s="56"/>
      <c r="D18" s="55" t="e">
        <f t="shared" ca="1" si="0"/>
        <v>#N/A</v>
      </c>
      <c r="E18" s="54" t="e">
        <f t="shared" ca="1" si="1"/>
        <v>#N/A</v>
      </c>
      <c r="F18" s="53" t="str">
        <f t="shared" ca="1" si="2"/>
        <v/>
      </c>
      <c r="G18" s="53">
        <f t="shared" ca="1" si="3"/>
        <v>0</v>
      </c>
      <c r="H18" s="53">
        <f t="shared" ca="1" si="4"/>
        <v>0</v>
      </c>
      <c r="I18" s="53">
        <f t="shared" ca="1" si="5"/>
        <v>0</v>
      </c>
      <c r="J18" s="53">
        <f t="shared" ca="1" si="6"/>
        <v>0</v>
      </c>
      <c r="K18" s="30"/>
      <c r="L18" s="53">
        <f t="shared" ca="1" si="7"/>
        <v>0</v>
      </c>
      <c r="M18" s="53">
        <f t="shared" ca="1" si="8"/>
        <v>0</v>
      </c>
      <c r="N18" s="27"/>
      <c r="P18" s="26"/>
      <c r="Q18" s="25"/>
      <c r="V18" s="18" t="b">
        <f>IF(D03_Number_of_Loans&gt;=2,FALSE,TRUE)</f>
        <v>1</v>
      </c>
    </row>
    <row r="19" spans="2:22" ht="17.25" hidden="1" customHeight="1">
      <c r="B19" s="31"/>
      <c r="C19" s="56"/>
      <c r="D19" s="55" t="e">
        <f t="shared" ca="1" si="0"/>
        <v>#N/A</v>
      </c>
      <c r="E19" s="54" t="e">
        <f t="shared" ca="1" si="1"/>
        <v>#N/A</v>
      </c>
      <c r="F19" s="53" t="str">
        <f t="shared" ca="1" si="2"/>
        <v/>
      </c>
      <c r="G19" s="53">
        <f t="shared" ca="1" si="3"/>
        <v>0</v>
      </c>
      <c r="H19" s="53">
        <f t="shared" ca="1" si="4"/>
        <v>0</v>
      </c>
      <c r="I19" s="53">
        <f t="shared" ca="1" si="5"/>
        <v>0</v>
      </c>
      <c r="J19" s="53">
        <f t="shared" ca="1" si="6"/>
        <v>0</v>
      </c>
      <c r="K19" s="30"/>
      <c r="L19" s="53">
        <f t="shared" ca="1" si="7"/>
        <v>0</v>
      </c>
      <c r="M19" s="53">
        <f t="shared" ca="1" si="8"/>
        <v>0</v>
      </c>
      <c r="N19" s="27"/>
      <c r="P19" s="26"/>
      <c r="Q19" s="25"/>
      <c r="V19" s="18" t="b">
        <f>IF(D03_Number_of_Loans&gt;=3,FALSE,TRUE)</f>
        <v>1</v>
      </c>
    </row>
    <row r="20" spans="2:22" ht="17.25" hidden="1" customHeight="1">
      <c r="B20" s="31"/>
      <c r="C20" s="56"/>
      <c r="D20" s="55" t="e">
        <f t="shared" ca="1" si="0"/>
        <v>#N/A</v>
      </c>
      <c r="E20" s="54" t="e">
        <f t="shared" ca="1" si="1"/>
        <v>#N/A</v>
      </c>
      <c r="F20" s="53" t="str">
        <f t="shared" ca="1" si="2"/>
        <v/>
      </c>
      <c r="G20" s="53">
        <f t="shared" ca="1" si="3"/>
        <v>0</v>
      </c>
      <c r="H20" s="53">
        <f t="shared" ca="1" si="4"/>
        <v>0</v>
      </c>
      <c r="I20" s="53">
        <f t="shared" ca="1" si="5"/>
        <v>0</v>
      </c>
      <c r="J20" s="53">
        <f t="shared" ca="1" si="6"/>
        <v>0</v>
      </c>
      <c r="K20" s="30"/>
      <c r="L20" s="53">
        <f t="shared" ca="1" si="7"/>
        <v>0</v>
      </c>
      <c r="M20" s="53">
        <f t="shared" ca="1" si="8"/>
        <v>0</v>
      </c>
      <c r="N20" s="27"/>
      <c r="P20" s="26"/>
      <c r="Q20" s="25"/>
      <c r="V20" s="18" t="b">
        <f>IF(D03_Number_of_Loans&gt;=4,FALSE,TRUE)</f>
        <v>1</v>
      </c>
    </row>
    <row r="21" spans="2:22" ht="17.25" hidden="1" customHeight="1">
      <c r="B21" s="31"/>
      <c r="C21" s="56"/>
      <c r="D21" s="55" t="e">
        <f t="shared" ca="1" si="0"/>
        <v>#N/A</v>
      </c>
      <c r="E21" s="54" t="e">
        <f t="shared" ca="1" si="1"/>
        <v>#N/A</v>
      </c>
      <c r="F21" s="53" t="str">
        <f t="shared" ca="1" si="2"/>
        <v/>
      </c>
      <c r="G21" s="53">
        <f t="shared" ca="1" si="3"/>
        <v>0</v>
      </c>
      <c r="H21" s="53">
        <f t="shared" ca="1" si="4"/>
        <v>0</v>
      </c>
      <c r="I21" s="53">
        <f t="shared" ca="1" si="5"/>
        <v>0</v>
      </c>
      <c r="J21" s="53">
        <f t="shared" ca="1" si="6"/>
        <v>0</v>
      </c>
      <c r="K21" s="30"/>
      <c r="L21" s="53">
        <f t="shared" ca="1" si="7"/>
        <v>0</v>
      </c>
      <c r="M21" s="53">
        <f t="shared" ca="1" si="8"/>
        <v>0</v>
      </c>
      <c r="N21" s="27"/>
      <c r="P21" s="26"/>
      <c r="Q21" s="25"/>
      <c r="V21" s="18" t="b">
        <f>IF(D03_Number_of_Loans&gt;=5,FALSE,TRUE)</f>
        <v>1</v>
      </c>
    </row>
    <row r="22" spans="2:22" ht="17.25" hidden="1" customHeight="1">
      <c r="B22" s="31"/>
      <c r="C22" s="56"/>
      <c r="D22" s="55" t="e">
        <f t="shared" ca="1" si="0"/>
        <v>#N/A</v>
      </c>
      <c r="E22" s="54" t="e">
        <f t="shared" ca="1" si="1"/>
        <v>#N/A</v>
      </c>
      <c r="F22" s="53" t="str">
        <f t="shared" ca="1" si="2"/>
        <v/>
      </c>
      <c r="G22" s="53">
        <f t="shared" ca="1" si="3"/>
        <v>0</v>
      </c>
      <c r="H22" s="53">
        <f t="shared" ca="1" si="4"/>
        <v>0</v>
      </c>
      <c r="I22" s="53">
        <f t="shared" ca="1" si="5"/>
        <v>0</v>
      </c>
      <c r="J22" s="53">
        <f t="shared" ca="1" si="6"/>
        <v>0</v>
      </c>
      <c r="K22" s="30"/>
      <c r="L22" s="53">
        <f t="shared" ca="1" si="7"/>
        <v>0</v>
      </c>
      <c r="M22" s="53">
        <f t="shared" ca="1" si="8"/>
        <v>0</v>
      </c>
      <c r="N22" s="27"/>
      <c r="P22" s="26"/>
      <c r="Q22" s="25"/>
      <c r="V22" s="18" t="b">
        <f>IF(D03_Number_of_Loans&gt;=6,FALSE,TRUE)</f>
        <v>1</v>
      </c>
    </row>
    <row r="23" spans="2:22" ht="17.25" hidden="1" customHeight="1">
      <c r="B23" s="31"/>
      <c r="C23" s="56"/>
      <c r="D23" s="55" t="e">
        <f t="shared" ca="1" si="0"/>
        <v>#N/A</v>
      </c>
      <c r="E23" s="54" t="e">
        <f t="shared" ca="1" si="1"/>
        <v>#N/A</v>
      </c>
      <c r="F23" s="53" t="str">
        <f t="shared" ca="1" si="2"/>
        <v/>
      </c>
      <c r="G23" s="53">
        <f t="shared" ca="1" si="3"/>
        <v>0</v>
      </c>
      <c r="H23" s="53">
        <f t="shared" ca="1" si="4"/>
        <v>0</v>
      </c>
      <c r="I23" s="53">
        <f t="shared" ca="1" si="5"/>
        <v>0</v>
      </c>
      <c r="J23" s="53">
        <f t="shared" ca="1" si="6"/>
        <v>0</v>
      </c>
      <c r="K23" s="30"/>
      <c r="L23" s="53">
        <f t="shared" ca="1" si="7"/>
        <v>0</v>
      </c>
      <c r="M23" s="53">
        <f t="shared" ca="1" si="8"/>
        <v>0</v>
      </c>
      <c r="N23" s="27"/>
      <c r="P23" s="26"/>
      <c r="Q23" s="25"/>
      <c r="V23" s="18" t="b">
        <f>IF(D03_Number_of_Loans&gt;=7,FALSE,TRUE)</f>
        <v>1</v>
      </c>
    </row>
    <row r="24" spans="2:22" ht="17.25" hidden="1" customHeight="1">
      <c r="B24" s="31"/>
      <c r="C24" s="56"/>
      <c r="D24" s="55" t="e">
        <f t="shared" ca="1" si="0"/>
        <v>#N/A</v>
      </c>
      <c r="E24" s="54" t="e">
        <f t="shared" ca="1" si="1"/>
        <v>#N/A</v>
      </c>
      <c r="F24" s="53" t="str">
        <f t="shared" ca="1" si="2"/>
        <v/>
      </c>
      <c r="G24" s="53">
        <f t="shared" ca="1" si="3"/>
        <v>0</v>
      </c>
      <c r="H24" s="53">
        <f t="shared" ca="1" si="4"/>
        <v>0</v>
      </c>
      <c r="I24" s="53">
        <f t="shared" ca="1" si="5"/>
        <v>0</v>
      </c>
      <c r="J24" s="53">
        <f t="shared" ca="1" si="6"/>
        <v>0</v>
      </c>
      <c r="K24" s="30"/>
      <c r="L24" s="53">
        <f t="shared" ca="1" si="7"/>
        <v>0</v>
      </c>
      <c r="M24" s="53">
        <f t="shared" ca="1" si="8"/>
        <v>0</v>
      </c>
      <c r="N24" s="27"/>
      <c r="P24" s="26"/>
      <c r="Q24" s="25"/>
      <c r="V24" s="18" t="b">
        <f>IF(D03_Number_of_Loans&gt;=8,FALSE,TRUE)</f>
        <v>1</v>
      </c>
    </row>
    <row r="25" spans="2:22" ht="17.25" hidden="1" customHeight="1">
      <c r="B25" s="31"/>
      <c r="C25" s="56"/>
      <c r="D25" s="55" t="e">
        <f t="shared" ca="1" si="0"/>
        <v>#N/A</v>
      </c>
      <c r="E25" s="54" t="e">
        <f t="shared" ca="1" si="1"/>
        <v>#N/A</v>
      </c>
      <c r="F25" s="53" t="str">
        <f t="shared" ca="1" si="2"/>
        <v/>
      </c>
      <c r="G25" s="53">
        <f t="shared" ca="1" si="3"/>
        <v>0</v>
      </c>
      <c r="H25" s="53">
        <f t="shared" ca="1" si="4"/>
        <v>0</v>
      </c>
      <c r="I25" s="53">
        <f t="shared" ca="1" si="5"/>
        <v>0</v>
      </c>
      <c r="J25" s="53">
        <f t="shared" ca="1" si="6"/>
        <v>0</v>
      </c>
      <c r="K25" s="30"/>
      <c r="L25" s="53">
        <f t="shared" ca="1" si="7"/>
        <v>0</v>
      </c>
      <c r="M25" s="53">
        <f t="shared" ca="1" si="8"/>
        <v>0</v>
      </c>
      <c r="N25" s="27"/>
      <c r="P25" s="26"/>
      <c r="Q25" s="25"/>
      <c r="V25" s="18" t="b">
        <f>IF(D03_Number_of_Loans&gt;=9,FALSE,TRUE)</f>
        <v>1</v>
      </c>
    </row>
    <row r="26" spans="2:22" ht="17.25" hidden="1" customHeight="1">
      <c r="B26" s="31"/>
      <c r="C26" s="56"/>
      <c r="D26" s="55" t="e">
        <f t="shared" ca="1" si="0"/>
        <v>#N/A</v>
      </c>
      <c r="E26" s="54" t="e">
        <f t="shared" ca="1" si="1"/>
        <v>#N/A</v>
      </c>
      <c r="F26" s="53" t="str">
        <f t="shared" ca="1" si="2"/>
        <v/>
      </c>
      <c r="G26" s="53">
        <f t="shared" ca="1" si="3"/>
        <v>0</v>
      </c>
      <c r="H26" s="53">
        <f t="shared" ca="1" si="4"/>
        <v>0</v>
      </c>
      <c r="I26" s="53">
        <f t="shared" ca="1" si="5"/>
        <v>0</v>
      </c>
      <c r="J26" s="53">
        <f t="shared" ca="1" si="6"/>
        <v>0</v>
      </c>
      <c r="K26" s="30"/>
      <c r="L26" s="53">
        <f t="shared" ca="1" si="7"/>
        <v>0</v>
      </c>
      <c r="M26" s="53">
        <f t="shared" ca="1" si="8"/>
        <v>0</v>
      </c>
      <c r="N26" s="27"/>
      <c r="P26" s="26"/>
      <c r="Q26" s="25"/>
      <c r="V26" s="18" t="b">
        <f>IF(D03_Number_of_Loans&gt;=10,FALSE,TRUE)</f>
        <v>1</v>
      </c>
    </row>
    <row r="27" spans="2:22" ht="17.25" hidden="1" customHeight="1">
      <c r="B27" s="31"/>
      <c r="C27" s="56"/>
      <c r="D27" s="55" t="e">
        <f t="shared" ca="1" si="0"/>
        <v>#N/A</v>
      </c>
      <c r="E27" s="54" t="e">
        <f t="shared" ca="1" si="1"/>
        <v>#N/A</v>
      </c>
      <c r="F27" s="53" t="str">
        <f t="shared" ca="1" si="2"/>
        <v/>
      </c>
      <c r="G27" s="53">
        <f t="shared" ca="1" si="3"/>
        <v>0</v>
      </c>
      <c r="H27" s="53">
        <f t="shared" ca="1" si="4"/>
        <v>0</v>
      </c>
      <c r="I27" s="53">
        <f t="shared" ca="1" si="5"/>
        <v>0</v>
      </c>
      <c r="J27" s="53">
        <f t="shared" ca="1" si="6"/>
        <v>0</v>
      </c>
      <c r="K27" s="30"/>
      <c r="L27" s="53">
        <f t="shared" ca="1" si="7"/>
        <v>0</v>
      </c>
      <c r="M27" s="53">
        <f t="shared" ca="1" si="8"/>
        <v>0</v>
      </c>
      <c r="N27" s="27"/>
      <c r="P27" s="26"/>
      <c r="Q27" s="25"/>
      <c r="V27" s="18" t="b">
        <f>IF(D03_Number_of_Loans&gt;=11,FALSE,TRUE)</f>
        <v>1</v>
      </c>
    </row>
    <row r="28" spans="2:22" ht="17.25" hidden="1" customHeight="1">
      <c r="B28" s="31"/>
      <c r="C28" s="56"/>
      <c r="D28" s="55" t="e">
        <f t="shared" ca="1" si="0"/>
        <v>#N/A</v>
      </c>
      <c r="E28" s="54" t="e">
        <f t="shared" ca="1" si="1"/>
        <v>#N/A</v>
      </c>
      <c r="F28" s="53" t="str">
        <f t="shared" ca="1" si="2"/>
        <v/>
      </c>
      <c r="G28" s="53">
        <f t="shared" ca="1" si="3"/>
        <v>0</v>
      </c>
      <c r="H28" s="53">
        <f t="shared" ca="1" si="4"/>
        <v>0</v>
      </c>
      <c r="I28" s="53">
        <f t="shared" ca="1" si="5"/>
        <v>0</v>
      </c>
      <c r="J28" s="53">
        <f t="shared" ca="1" si="6"/>
        <v>0</v>
      </c>
      <c r="K28" s="30"/>
      <c r="L28" s="53">
        <f t="shared" ca="1" si="7"/>
        <v>0</v>
      </c>
      <c r="M28" s="53">
        <f t="shared" ca="1" si="8"/>
        <v>0</v>
      </c>
      <c r="N28" s="27"/>
      <c r="P28" s="26"/>
      <c r="Q28" s="25"/>
      <c r="V28" s="18" t="b">
        <f>IF(D03_Number_of_Loans&gt;=12,FALSE,TRUE)</f>
        <v>1</v>
      </c>
    </row>
    <row r="29" spans="2:22" ht="17.25" hidden="1" customHeight="1">
      <c r="B29" s="31"/>
      <c r="C29" s="56"/>
      <c r="D29" s="55" t="e">
        <f t="shared" ca="1" si="0"/>
        <v>#N/A</v>
      </c>
      <c r="E29" s="54" t="e">
        <f t="shared" ca="1" si="1"/>
        <v>#N/A</v>
      </c>
      <c r="F29" s="53" t="str">
        <f t="shared" ca="1" si="2"/>
        <v/>
      </c>
      <c r="G29" s="53">
        <f t="shared" ca="1" si="3"/>
        <v>0</v>
      </c>
      <c r="H29" s="53">
        <f t="shared" ca="1" si="4"/>
        <v>0</v>
      </c>
      <c r="I29" s="53">
        <f t="shared" ca="1" si="5"/>
        <v>0</v>
      </c>
      <c r="J29" s="53">
        <f t="shared" ca="1" si="6"/>
        <v>0</v>
      </c>
      <c r="K29" s="30"/>
      <c r="L29" s="53">
        <f t="shared" ca="1" si="7"/>
        <v>0</v>
      </c>
      <c r="M29" s="53">
        <f t="shared" ca="1" si="8"/>
        <v>0</v>
      </c>
      <c r="N29" s="27"/>
      <c r="P29" s="26"/>
      <c r="Q29" s="25"/>
      <c r="V29" s="18" t="b">
        <f>IF(D03_Number_of_Loans&gt;=13,FALSE,TRUE)</f>
        <v>1</v>
      </c>
    </row>
    <row r="30" spans="2:22" ht="17.25" hidden="1" customHeight="1">
      <c r="B30" s="31"/>
      <c r="C30" s="56"/>
      <c r="D30" s="55" t="e">
        <f t="shared" ca="1" si="0"/>
        <v>#N/A</v>
      </c>
      <c r="E30" s="54" t="e">
        <f t="shared" ca="1" si="1"/>
        <v>#N/A</v>
      </c>
      <c r="F30" s="53" t="str">
        <f t="shared" ca="1" si="2"/>
        <v/>
      </c>
      <c r="G30" s="53">
        <f t="shared" ca="1" si="3"/>
        <v>0</v>
      </c>
      <c r="H30" s="53">
        <f t="shared" ca="1" si="4"/>
        <v>0</v>
      </c>
      <c r="I30" s="53">
        <f t="shared" ca="1" si="5"/>
        <v>0</v>
      </c>
      <c r="J30" s="53">
        <f t="shared" ca="1" si="6"/>
        <v>0</v>
      </c>
      <c r="K30" s="30"/>
      <c r="L30" s="53">
        <f t="shared" ca="1" si="7"/>
        <v>0</v>
      </c>
      <c r="M30" s="53">
        <f t="shared" ca="1" si="8"/>
        <v>0</v>
      </c>
      <c r="N30" s="27"/>
      <c r="P30" s="26"/>
      <c r="Q30" s="25"/>
      <c r="V30" s="18" t="b">
        <f>IF(D03_Number_of_Loans&gt;=14,FALSE,TRUE)</f>
        <v>1</v>
      </c>
    </row>
    <row r="31" spans="2:22" ht="17.25" hidden="1" customHeight="1">
      <c r="B31" s="31"/>
      <c r="C31" s="56"/>
      <c r="D31" s="55" t="e">
        <f t="shared" ca="1" si="0"/>
        <v>#N/A</v>
      </c>
      <c r="E31" s="54" t="e">
        <f t="shared" ca="1" si="1"/>
        <v>#N/A</v>
      </c>
      <c r="F31" s="53" t="str">
        <f t="shared" ca="1" si="2"/>
        <v/>
      </c>
      <c r="G31" s="53">
        <f t="shared" ca="1" si="3"/>
        <v>0</v>
      </c>
      <c r="H31" s="53">
        <f t="shared" ca="1" si="4"/>
        <v>0</v>
      </c>
      <c r="I31" s="53">
        <f t="shared" ca="1" si="5"/>
        <v>0</v>
      </c>
      <c r="J31" s="53">
        <f t="shared" ca="1" si="6"/>
        <v>0</v>
      </c>
      <c r="K31" s="30"/>
      <c r="L31" s="53">
        <f t="shared" ca="1" si="7"/>
        <v>0</v>
      </c>
      <c r="M31" s="53">
        <f t="shared" ca="1" si="8"/>
        <v>0</v>
      </c>
      <c r="N31" s="27"/>
      <c r="P31" s="26"/>
      <c r="Q31" s="25"/>
      <c r="V31" s="18" t="b">
        <f>IF(D03_Number_of_Loans&gt;=15,FALSE,TRUE)</f>
        <v>1</v>
      </c>
    </row>
    <row r="32" spans="2:22" ht="17.25" hidden="1" customHeight="1">
      <c r="B32" s="31"/>
      <c r="C32" s="56"/>
      <c r="D32" s="55" t="e">
        <f t="shared" ca="1" si="0"/>
        <v>#N/A</v>
      </c>
      <c r="E32" s="54" t="e">
        <f t="shared" ca="1" si="1"/>
        <v>#N/A</v>
      </c>
      <c r="F32" s="53" t="str">
        <f t="shared" ca="1" si="2"/>
        <v/>
      </c>
      <c r="G32" s="53">
        <f t="shared" ca="1" si="3"/>
        <v>0</v>
      </c>
      <c r="H32" s="53">
        <f t="shared" ca="1" si="4"/>
        <v>0</v>
      </c>
      <c r="I32" s="53">
        <f t="shared" ca="1" si="5"/>
        <v>0</v>
      </c>
      <c r="J32" s="53">
        <f t="shared" ca="1" si="6"/>
        <v>0</v>
      </c>
      <c r="K32" s="30"/>
      <c r="L32" s="53">
        <f t="shared" ca="1" si="7"/>
        <v>0</v>
      </c>
      <c r="M32" s="53">
        <f t="shared" ca="1" si="8"/>
        <v>0</v>
      </c>
      <c r="N32" s="27"/>
      <c r="P32" s="26"/>
      <c r="Q32" s="25"/>
      <c r="V32" s="18" t="b">
        <f>IF(D03_Number_of_Loans&gt;=16,FALSE,TRUE)</f>
        <v>1</v>
      </c>
    </row>
    <row r="33" spans="2:22" ht="17.25" hidden="1" customHeight="1">
      <c r="B33" s="31"/>
      <c r="C33" s="56"/>
      <c r="D33" s="55" t="e">
        <f t="shared" ca="1" si="0"/>
        <v>#N/A</v>
      </c>
      <c r="E33" s="54" t="e">
        <f t="shared" ca="1" si="1"/>
        <v>#N/A</v>
      </c>
      <c r="F33" s="53" t="str">
        <f t="shared" ca="1" si="2"/>
        <v/>
      </c>
      <c r="G33" s="53">
        <f t="shared" ca="1" si="3"/>
        <v>0</v>
      </c>
      <c r="H33" s="53">
        <f t="shared" ca="1" si="4"/>
        <v>0</v>
      </c>
      <c r="I33" s="53">
        <f t="shared" ca="1" si="5"/>
        <v>0</v>
      </c>
      <c r="J33" s="53">
        <f t="shared" ca="1" si="6"/>
        <v>0</v>
      </c>
      <c r="K33" s="30"/>
      <c r="L33" s="53">
        <f t="shared" ca="1" si="7"/>
        <v>0</v>
      </c>
      <c r="M33" s="53">
        <f t="shared" ca="1" si="8"/>
        <v>0</v>
      </c>
      <c r="N33" s="27"/>
      <c r="P33" s="26"/>
      <c r="Q33" s="25"/>
      <c r="V33" s="18" t="b">
        <f>IF(D03_Number_of_Loans&gt;=17,FALSE,TRUE)</f>
        <v>1</v>
      </c>
    </row>
    <row r="34" spans="2:22" ht="17.25" hidden="1" customHeight="1">
      <c r="B34" s="31"/>
      <c r="C34" s="56"/>
      <c r="D34" s="55" t="e">
        <f t="shared" ca="1" si="0"/>
        <v>#N/A</v>
      </c>
      <c r="E34" s="54" t="e">
        <f t="shared" ca="1" si="1"/>
        <v>#N/A</v>
      </c>
      <c r="F34" s="53" t="str">
        <f t="shared" ca="1" si="2"/>
        <v/>
      </c>
      <c r="G34" s="53">
        <f t="shared" ca="1" si="3"/>
        <v>0</v>
      </c>
      <c r="H34" s="53">
        <f t="shared" ca="1" si="4"/>
        <v>0</v>
      </c>
      <c r="I34" s="53">
        <f t="shared" ca="1" si="5"/>
        <v>0</v>
      </c>
      <c r="J34" s="53">
        <f t="shared" ca="1" si="6"/>
        <v>0</v>
      </c>
      <c r="K34" s="30"/>
      <c r="L34" s="53">
        <f t="shared" ca="1" si="7"/>
        <v>0</v>
      </c>
      <c r="M34" s="53">
        <f t="shared" ca="1" si="8"/>
        <v>0</v>
      </c>
      <c r="N34" s="27"/>
      <c r="P34" s="26"/>
      <c r="Q34" s="25"/>
      <c r="V34" s="18" t="b">
        <f>IF(D03_Number_of_Loans&gt;=18,FALSE,TRUE)</f>
        <v>1</v>
      </c>
    </row>
    <row r="35" spans="2:22" ht="17.25" hidden="1" customHeight="1">
      <c r="B35" s="31"/>
      <c r="C35" s="56"/>
      <c r="D35" s="55" t="e">
        <f t="shared" ca="1" si="0"/>
        <v>#N/A</v>
      </c>
      <c r="E35" s="54" t="e">
        <f t="shared" ca="1" si="1"/>
        <v>#N/A</v>
      </c>
      <c r="F35" s="53" t="str">
        <f t="shared" ca="1" si="2"/>
        <v/>
      </c>
      <c r="G35" s="53">
        <f t="shared" ca="1" si="3"/>
        <v>0</v>
      </c>
      <c r="H35" s="53">
        <f t="shared" ca="1" si="4"/>
        <v>0</v>
      </c>
      <c r="I35" s="53">
        <f t="shared" ca="1" si="5"/>
        <v>0</v>
      </c>
      <c r="J35" s="53">
        <f t="shared" ca="1" si="6"/>
        <v>0</v>
      </c>
      <c r="K35" s="30"/>
      <c r="L35" s="53">
        <f t="shared" ca="1" si="7"/>
        <v>0</v>
      </c>
      <c r="M35" s="53">
        <f t="shared" ca="1" si="8"/>
        <v>0</v>
      </c>
      <c r="N35" s="27"/>
      <c r="P35" s="26"/>
      <c r="Q35" s="25"/>
      <c r="V35" s="18" t="b">
        <f>IF(D03_Number_of_Loans&gt;=19,FALSE,TRUE)</f>
        <v>1</v>
      </c>
    </row>
    <row r="36" spans="2:22" ht="17.25" hidden="1" customHeight="1">
      <c r="B36" s="31"/>
      <c r="C36" s="56"/>
      <c r="D36" s="55" t="e">
        <f t="shared" ca="1" si="0"/>
        <v>#N/A</v>
      </c>
      <c r="E36" s="54" t="e">
        <f t="shared" ca="1" si="1"/>
        <v>#N/A</v>
      </c>
      <c r="F36" s="53" t="str">
        <f t="shared" ca="1" si="2"/>
        <v/>
      </c>
      <c r="G36" s="53">
        <f t="shared" ca="1" si="3"/>
        <v>0</v>
      </c>
      <c r="H36" s="53">
        <f t="shared" ca="1" si="4"/>
        <v>0</v>
      </c>
      <c r="I36" s="53">
        <f t="shared" ca="1" si="5"/>
        <v>0</v>
      </c>
      <c r="J36" s="53">
        <f t="shared" ca="1" si="6"/>
        <v>0</v>
      </c>
      <c r="K36" s="30"/>
      <c r="L36" s="53">
        <f t="shared" ca="1" si="7"/>
        <v>0</v>
      </c>
      <c r="M36" s="53">
        <f t="shared" ca="1" si="8"/>
        <v>0</v>
      </c>
      <c r="N36" s="27"/>
      <c r="P36" s="26"/>
      <c r="Q36" s="25"/>
      <c r="V36" s="18" t="b">
        <f>IF(D03_Number_of_Loans&gt;=20,FALSE,TRUE)</f>
        <v>1</v>
      </c>
    </row>
    <row r="37" spans="2:22" ht="17.25" hidden="1" customHeight="1">
      <c r="B37" s="31"/>
      <c r="C37" s="56"/>
      <c r="D37" s="55" t="e">
        <f t="shared" ca="1" si="0"/>
        <v>#N/A</v>
      </c>
      <c r="E37" s="54" t="e">
        <f t="shared" ca="1" si="1"/>
        <v>#N/A</v>
      </c>
      <c r="F37" s="53" t="str">
        <f t="shared" ca="1" si="2"/>
        <v/>
      </c>
      <c r="G37" s="53">
        <f t="shared" ca="1" si="3"/>
        <v>0</v>
      </c>
      <c r="H37" s="53">
        <f t="shared" ca="1" si="4"/>
        <v>0</v>
      </c>
      <c r="I37" s="53">
        <f t="shared" ca="1" si="5"/>
        <v>0</v>
      </c>
      <c r="J37" s="53">
        <f t="shared" ca="1" si="6"/>
        <v>0</v>
      </c>
      <c r="K37" s="30"/>
      <c r="L37" s="53">
        <f t="shared" ca="1" si="7"/>
        <v>0</v>
      </c>
      <c r="M37" s="53">
        <f t="shared" ca="1" si="8"/>
        <v>0</v>
      </c>
      <c r="N37" s="27"/>
      <c r="P37" s="26"/>
      <c r="Q37" s="25"/>
      <c r="V37" s="18" t="b">
        <f>IF(D03_Number_of_Loans&gt;=21,FALSE,TRUE)</f>
        <v>1</v>
      </c>
    </row>
    <row r="38" spans="2:22" ht="17.25" hidden="1" customHeight="1">
      <c r="B38" s="31"/>
      <c r="C38" s="56"/>
      <c r="D38" s="55" t="e">
        <f t="shared" ca="1" si="0"/>
        <v>#N/A</v>
      </c>
      <c r="E38" s="54" t="e">
        <f t="shared" ca="1" si="1"/>
        <v>#N/A</v>
      </c>
      <c r="F38" s="53" t="str">
        <f t="shared" ca="1" si="2"/>
        <v/>
      </c>
      <c r="G38" s="53">
        <f t="shared" ca="1" si="3"/>
        <v>0</v>
      </c>
      <c r="H38" s="53">
        <f t="shared" ca="1" si="4"/>
        <v>0</v>
      </c>
      <c r="I38" s="53">
        <f t="shared" ca="1" si="5"/>
        <v>0</v>
      </c>
      <c r="J38" s="53">
        <f t="shared" ca="1" si="6"/>
        <v>0</v>
      </c>
      <c r="K38" s="30"/>
      <c r="L38" s="53">
        <f t="shared" ca="1" si="7"/>
        <v>0</v>
      </c>
      <c r="M38" s="53">
        <f t="shared" ca="1" si="8"/>
        <v>0</v>
      </c>
      <c r="N38" s="27"/>
      <c r="P38" s="26"/>
      <c r="Q38" s="25"/>
      <c r="V38" s="18" t="b">
        <f>IF(D03_Number_of_Loans&gt;=22,FALSE,TRUE)</f>
        <v>1</v>
      </c>
    </row>
    <row r="39" spans="2:22" ht="17.25" hidden="1" customHeight="1">
      <c r="B39" s="31"/>
      <c r="C39" s="56"/>
      <c r="D39" s="55" t="e">
        <f t="shared" ca="1" si="0"/>
        <v>#N/A</v>
      </c>
      <c r="E39" s="54" t="e">
        <f t="shared" ca="1" si="1"/>
        <v>#N/A</v>
      </c>
      <c r="F39" s="53" t="str">
        <f t="shared" ca="1" si="2"/>
        <v/>
      </c>
      <c r="G39" s="53">
        <f t="shared" ca="1" si="3"/>
        <v>0</v>
      </c>
      <c r="H39" s="53">
        <f t="shared" ca="1" si="4"/>
        <v>0</v>
      </c>
      <c r="I39" s="53">
        <f t="shared" ca="1" si="5"/>
        <v>0</v>
      </c>
      <c r="J39" s="53">
        <f t="shared" ca="1" si="6"/>
        <v>0</v>
      </c>
      <c r="K39" s="30"/>
      <c r="L39" s="53">
        <f t="shared" ca="1" si="7"/>
        <v>0</v>
      </c>
      <c r="M39" s="53">
        <f t="shared" ca="1" si="8"/>
        <v>0</v>
      </c>
      <c r="N39" s="27"/>
      <c r="P39" s="26"/>
      <c r="Q39" s="25"/>
      <c r="V39" s="18" t="b">
        <f>IF(D03_Number_of_Loans&gt;=23,FALSE,TRUE)</f>
        <v>1</v>
      </c>
    </row>
    <row r="40" spans="2:22" ht="17.25" hidden="1" customHeight="1">
      <c r="B40" s="31"/>
      <c r="C40" s="56"/>
      <c r="D40" s="55" t="e">
        <f t="shared" ca="1" si="0"/>
        <v>#N/A</v>
      </c>
      <c r="E40" s="54" t="e">
        <f t="shared" ca="1" si="1"/>
        <v>#N/A</v>
      </c>
      <c r="F40" s="53" t="str">
        <f t="shared" ca="1" si="2"/>
        <v/>
      </c>
      <c r="G40" s="53">
        <f t="shared" ca="1" si="3"/>
        <v>0</v>
      </c>
      <c r="H40" s="53">
        <f t="shared" ca="1" si="4"/>
        <v>0</v>
      </c>
      <c r="I40" s="53">
        <f t="shared" ca="1" si="5"/>
        <v>0</v>
      </c>
      <c r="J40" s="53">
        <f t="shared" ca="1" si="6"/>
        <v>0</v>
      </c>
      <c r="K40" s="30"/>
      <c r="L40" s="53">
        <f t="shared" ca="1" si="7"/>
        <v>0</v>
      </c>
      <c r="M40" s="53">
        <f t="shared" ca="1" si="8"/>
        <v>0</v>
      </c>
      <c r="N40" s="27"/>
      <c r="P40" s="26"/>
      <c r="Q40" s="25"/>
      <c r="V40" s="18" t="b">
        <f>IF(D03_Number_of_Loans&gt;=24,FALSE,TRUE)</f>
        <v>1</v>
      </c>
    </row>
    <row r="41" spans="2:22" ht="17.25" hidden="1" customHeight="1">
      <c r="B41" s="31"/>
      <c r="C41" s="56"/>
      <c r="D41" s="55" t="e">
        <f t="shared" ca="1" si="0"/>
        <v>#N/A</v>
      </c>
      <c r="E41" s="54" t="e">
        <f t="shared" ca="1" si="1"/>
        <v>#N/A</v>
      </c>
      <c r="F41" s="53" t="str">
        <f t="shared" ca="1" si="2"/>
        <v/>
      </c>
      <c r="G41" s="53">
        <f t="shared" ca="1" si="3"/>
        <v>0</v>
      </c>
      <c r="H41" s="53">
        <f t="shared" ca="1" si="4"/>
        <v>0</v>
      </c>
      <c r="I41" s="53">
        <f t="shared" ca="1" si="5"/>
        <v>0</v>
      </c>
      <c r="J41" s="53">
        <f t="shared" ca="1" si="6"/>
        <v>0</v>
      </c>
      <c r="K41" s="30"/>
      <c r="L41" s="53">
        <f t="shared" ca="1" si="7"/>
        <v>0</v>
      </c>
      <c r="M41" s="53">
        <f t="shared" ca="1" si="8"/>
        <v>0</v>
      </c>
      <c r="N41" s="27"/>
      <c r="P41" s="26"/>
      <c r="Q41" s="25"/>
      <c r="V41" s="18" t="b">
        <f>IF(D03_Number_of_Loans&gt;=25,FALSE,TRUE)</f>
        <v>1</v>
      </c>
    </row>
    <row r="42" spans="2:22" ht="17.25" hidden="1" customHeight="1">
      <c r="B42" s="31"/>
      <c r="C42" s="56"/>
      <c r="D42" s="55" t="e">
        <f t="shared" ca="1" si="0"/>
        <v>#N/A</v>
      </c>
      <c r="E42" s="54" t="e">
        <f t="shared" ca="1" si="1"/>
        <v>#N/A</v>
      </c>
      <c r="F42" s="53" t="str">
        <f t="shared" ca="1" si="2"/>
        <v/>
      </c>
      <c r="G42" s="53">
        <f t="shared" ca="1" si="3"/>
        <v>0</v>
      </c>
      <c r="H42" s="53">
        <f t="shared" ca="1" si="4"/>
        <v>0</v>
      </c>
      <c r="I42" s="53">
        <f t="shared" ca="1" si="5"/>
        <v>0</v>
      </c>
      <c r="J42" s="53">
        <f t="shared" ca="1" si="6"/>
        <v>0</v>
      </c>
      <c r="K42" s="30"/>
      <c r="L42" s="53">
        <f t="shared" ca="1" si="7"/>
        <v>0</v>
      </c>
      <c r="M42" s="53">
        <f t="shared" ca="1" si="8"/>
        <v>0</v>
      </c>
      <c r="N42" s="27"/>
      <c r="P42" s="26"/>
      <c r="Q42" s="25"/>
      <c r="V42" s="18" t="b">
        <f>IF(D03_Number_of_Loans&gt;=26,FALSE,TRUE)</f>
        <v>1</v>
      </c>
    </row>
    <row r="43" spans="2:22" ht="17.25" hidden="1" customHeight="1">
      <c r="B43" s="31"/>
      <c r="C43" s="56"/>
      <c r="D43" s="55" t="e">
        <f t="shared" ca="1" si="0"/>
        <v>#N/A</v>
      </c>
      <c r="E43" s="54" t="e">
        <f t="shared" ca="1" si="1"/>
        <v>#N/A</v>
      </c>
      <c r="F43" s="53" t="str">
        <f t="shared" ca="1" si="2"/>
        <v/>
      </c>
      <c r="G43" s="53">
        <f t="shared" ca="1" si="3"/>
        <v>0</v>
      </c>
      <c r="H43" s="53">
        <f t="shared" ca="1" si="4"/>
        <v>0</v>
      </c>
      <c r="I43" s="53">
        <f t="shared" ca="1" si="5"/>
        <v>0</v>
      </c>
      <c r="J43" s="53">
        <f t="shared" ca="1" si="6"/>
        <v>0</v>
      </c>
      <c r="K43" s="30"/>
      <c r="L43" s="53">
        <f t="shared" ca="1" si="7"/>
        <v>0</v>
      </c>
      <c r="M43" s="53">
        <f t="shared" ca="1" si="8"/>
        <v>0</v>
      </c>
      <c r="N43" s="27"/>
      <c r="P43" s="26"/>
      <c r="Q43" s="25"/>
      <c r="V43" s="18" t="b">
        <f>IF(D03_Number_of_Loans&gt;=27,FALSE,TRUE)</f>
        <v>1</v>
      </c>
    </row>
    <row r="44" spans="2:22" ht="17.25" hidden="1" customHeight="1">
      <c r="B44" s="31"/>
      <c r="C44" s="56"/>
      <c r="D44" s="55" t="e">
        <f t="shared" ca="1" si="0"/>
        <v>#N/A</v>
      </c>
      <c r="E44" s="54" t="e">
        <f t="shared" ca="1" si="1"/>
        <v>#N/A</v>
      </c>
      <c r="F44" s="53" t="str">
        <f t="shared" ca="1" si="2"/>
        <v/>
      </c>
      <c r="G44" s="53">
        <f t="shared" ca="1" si="3"/>
        <v>0</v>
      </c>
      <c r="H44" s="53">
        <f t="shared" ca="1" si="4"/>
        <v>0</v>
      </c>
      <c r="I44" s="53">
        <f t="shared" ca="1" si="5"/>
        <v>0</v>
      </c>
      <c r="J44" s="53">
        <f t="shared" ca="1" si="6"/>
        <v>0</v>
      </c>
      <c r="K44" s="30"/>
      <c r="L44" s="53">
        <f t="shared" ca="1" si="7"/>
        <v>0</v>
      </c>
      <c r="M44" s="53">
        <f t="shared" ca="1" si="8"/>
        <v>0</v>
      </c>
      <c r="N44" s="27"/>
      <c r="P44" s="26"/>
      <c r="Q44" s="25"/>
      <c r="V44" s="18" t="b">
        <f>IF(D03_Number_of_Loans&gt;=28,FALSE,TRUE)</f>
        <v>1</v>
      </c>
    </row>
    <row r="45" spans="2:22" ht="17.25" hidden="1" customHeight="1">
      <c r="B45" s="31"/>
      <c r="C45" s="56"/>
      <c r="D45" s="55" t="e">
        <f t="shared" ca="1" si="0"/>
        <v>#N/A</v>
      </c>
      <c r="E45" s="54" t="e">
        <f t="shared" ca="1" si="1"/>
        <v>#N/A</v>
      </c>
      <c r="F45" s="53" t="str">
        <f t="shared" ca="1" si="2"/>
        <v/>
      </c>
      <c r="G45" s="53">
        <f t="shared" ca="1" si="3"/>
        <v>0</v>
      </c>
      <c r="H45" s="53">
        <f t="shared" ca="1" si="4"/>
        <v>0</v>
      </c>
      <c r="I45" s="53">
        <f t="shared" ca="1" si="5"/>
        <v>0</v>
      </c>
      <c r="J45" s="53">
        <f t="shared" ca="1" si="6"/>
        <v>0</v>
      </c>
      <c r="K45" s="30"/>
      <c r="L45" s="53">
        <f t="shared" ca="1" si="7"/>
        <v>0</v>
      </c>
      <c r="M45" s="53">
        <f t="shared" ca="1" si="8"/>
        <v>0</v>
      </c>
      <c r="N45" s="27"/>
      <c r="P45" s="26"/>
      <c r="Q45" s="25"/>
      <c r="V45" s="18" t="b">
        <f>IF(D03_Number_of_Loans&gt;=29,FALSE,TRUE)</f>
        <v>1</v>
      </c>
    </row>
    <row r="46" spans="2:22" ht="17.25" hidden="1" customHeight="1">
      <c r="B46" s="31"/>
      <c r="C46" s="56"/>
      <c r="D46" s="55" t="e">
        <f t="shared" ca="1" si="0"/>
        <v>#N/A</v>
      </c>
      <c r="E46" s="54" t="e">
        <f t="shared" ca="1" si="1"/>
        <v>#N/A</v>
      </c>
      <c r="F46" s="53" t="str">
        <f t="shared" ca="1" si="2"/>
        <v/>
      </c>
      <c r="G46" s="53">
        <f t="shared" ca="1" si="3"/>
        <v>0</v>
      </c>
      <c r="H46" s="53">
        <f t="shared" ca="1" si="4"/>
        <v>0</v>
      </c>
      <c r="I46" s="53">
        <f t="shared" ca="1" si="5"/>
        <v>0</v>
      </c>
      <c r="J46" s="53">
        <f t="shared" ca="1" si="6"/>
        <v>0</v>
      </c>
      <c r="K46" s="30"/>
      <c r="L46" s="53">
        <f t="shared" ca="1" si="7"/>
        <v>0</v>
      </c>
      <c r="M46" s="53">
        <f t="shared" ca="1" si="8"/>
        <v>0</v>
      </c>
      <c r="N46" s="27"/>
      <c r="P46" s="26"/>
      <c r="Q46" s="25"/>
      <c r="V46" s="18" t="b">
        <f>IF(D03_Number_of_Loans&gt;=30,FALSE,TRUE)</f>
        <v>1</v>
      </c>
    </row>
    <row r="47" spans="2:22" ht="17.25" hidden="1" customHeight="1">
      <c r="B47" s="31"/>
      <c r="C47" s="56"/>
      <c r="D47" s="55" t="e">
        <f t="shared" ca="1" si="0"/>
        <v>#N/A</v>
      </c>
      <c r="E47" s="54" t="e">
        <f t="shared" ca="1" si="1"/>
        <v>#N/A</v>
      </c>
      <c r="F47" s="53" t="str">
        <f t="shared" ca="1" si="2"/>
        <v/>
      </c>
      <c r="G47" s="53">
        <f t="shared" ca="1" si="3"/>
        <v>0</v>
      </c>
      <c r="H47" s="53">
        <f t="shared" ca="1" si="4"/>
        <v>0</v>
      </c>
      <c r="I47" s="53">
        <f t="shared" ca="1" si="5"/>
        <v>0</v>
      </c>
      <c r="J47" s="53">
        <f t="shared" ca="1" si="6"/>
        <v>0</v>
      </c>
      <c r="K47" s="30"/>
      <c r="L47" s="53">
        <f t="shared" ca="1" si="7"/>
        <v>0</v>
      </c>
      <c r="M47" s="53">
        <f t="shared" ca="1" si="8"/>
        <v>0</v>
      </c>
      <c r="N47" s="27"/>
      <c r="P47" s="26"/>
      <c r="Q47" s="25"/>
      <c r="V47" s="18" t="b">
        <f>IF(D03_Number_of_Loans&gt;=31,FALSE,TRUE)</f>
        <v>1</v>
      </c>
    </row>
    <row r="48" spans="2:22" ht="17.25" hidden="1" customHeight="1">
      <c r="B48" s="31"/>
      <c r="C48" s="56"/>
      <c r="D48" s="55" t="e">
        <f t="shared" ca="1" si="0"/>
        <v>#N/A</v>
      </c>
      <c r="E48" s="54" t="e">
        <f t="shared" ca="1" si="1"/>
        <v>#N/A</v>
      </c>
      <c r="F48" s="53" t="str">
        <f t="shared" ca="1" si="2"/>
        <v/>
      </c>
      <c r="G48" s="53">
        <f t="shared" ca="1" si="3"/>
        <v>0</v>
      </c>
      <c r="H48" s="53">
        <f t="shared" ca="1" si="4"/>
        <v>0</v>
      </c>
      <c r="I48" s="53">
        <f t="shared" ca="1" si="5"/>
        <v>0</v>
      </c>
      <c r="J48" s="53">
        <f t="shared" ca="1" si="6"/>
        <v>0</v>
      </c>
      <c r="K48" s="30"/>
      <c r="L48" s="53">
        <f t="shared" ca="1" si="7"/>
        <v>0</v>
      </c>
      <c r="M48" s="53">
        <f t="shared" ca="1" si="8"/>
        <v>0</v>
      </c>
      <c r="N48" s="27"/>
      <c r="P48" s="26"/>
      <c r="Q48" s="25"/>
      <c r="V48" s="18" t="b">
        <f>IF(D03_Number_of_Loans&gt;=32,FALSE,TRUE)</f>
        <v>1</v>
      </c>
    </row>
    <row r="49" spans="2:22" ht="17.25" hidden="1" customHeight="1">
      <c r="B49" s="31"/>
      <c r="C49" s="56"/>
      <c r="D49" s="55" t="e">
        <f t="shared" ref="D49:D80" ca="1" si="9">IF(C49=E49, HYPERLINK("#'" &amp; VLOOKUP(C49,INDIRECT("HNSW_Summary!$A:$B"),2,0) &amp; "'!A1", "}"), "}")</f>
        <v>#N/A</v>
      </c>
      <c r="E49" s="54" t="e">
        <f t="shared" ref="E49:E66" ca="1" si="10">VLOOKUP(C49,INDIRECT("HNSW_Summary!$A:$B"),1,0)</f>
        <v>#N/A</v>
      </c>
      <c r="F49" s="53" t="str">
        <f t="shared" ref="F49:F66" ca="1" si="11">IFERROR(INDEX(INDIRECT("HNSW_Summary!A:Z"),MATCH(C49,INDIRECT("HNSW_Summary!A:A"), 0),MATCH("Director",INDIRECT("HNSW_Summary!1:1"),0)),"")</f>
        <v/>
      </c>
      <c r="G49" s="53">
        <f t="shared" ref="G49:G66" ca="1" si="12">SUMIF(INDIRECT("HNSW_Summary!A:A"),C49,INDEX(INDIRECT("HNSW_Summary!A:Z"),0,MATCH("OpBalance",INDIRECT("HNSW_Summary!1:1"),0)))</f>
        <v>0</v>
      </c>
      <c r="H49" s="53">
        <f t="shared" ref="H49:H66" ca="1" si="13">SUMIF(INDIRECT("HNSW_Summary!A:A"),C49,INDEX(INDIRECT("HNSW_Summary!A:Z"),0,MATCH("Repayments",INDIRECT("HNSW_Summary!1:1"),0)))</f>
        <v>0</v>
      </c>
      <c r="I49" s="53">
        <f t="shared" ref="I49:I66" ca="1" si="14">SUMIF(INDIRECT("HNSW_Summary!A:A"),C49,INDEX(INDIRECT("HNSW_Summary!A:Z"),0,MATCH("Interest",INDIRECT("HNSW_Summary!1:1"),0)))</f>
        <v>0</v>
      </c>
      <c r="J49" s="53">
        <f t="shared" ref="J49:J66" ca="1" si="15">SUMIF(INDIRECT("HNSW_Summary!A:A"),C49,INDEX(INDIRECT("HNSW_Summary!A:Z"),0,MATCH("ClBalance",INDIRECT("HNSW_Summary!1:1"),0)))</f>
        <v>0</v>
      </c>
      <c r="K49" s="30"/>
      <c r="L49" s="53">
        <f t="shared" ref="L49:L66" ca="1" si="16">SUMIF(INDIRECT("HNSW_Summary!A:A"),C49,INDEX(INDIRECT("HNSW_Summary!A:Z"),0,MATCH("MinRepayments",INDIRECT("HNSW_Summary!1:1"),0)))</f>
        <v>0</v>
      </c>
      <c r="M49" s="53">
        <f t="shared" ref="M49:M66" ca="1" si="17">SUMIF(INDIRECT("HNSW_Summary!A:A"),C49,INDEX(INDIRECT("HNSW_Summary!A:Z"),0,MATCH("UnderOver",INDIRECT("HNSW_Summary!1:1"),0)))</f>
        <v>0</v>
      </c>
      <c r="N49" s="27"/>
      <c r="P49" s="26"/>
      <c r="Q49" s="25"/>
      <c r="V49" s="18" t="b">
        <f>IF(D03_Number_of_Loans&gt;=33,FALSE,TRUE)</f>
        <v>1</v>
      </c>
    </row>
    <row r="50" spans="2:22" ht="17.25" hidden="1" customHeight="1">
      <c r="B50" s="31"/>
      <c r="C50" s="56"/>
      <c r="D50" s="55" t="e">
        <f t="shared" ca="1" si="9"/>
        <v>#N/A</v>
      </c>
      <c r="E50" s="54" t="e">
        <f t="shared" ca="1" si="10"/>
        <v>#N/A</v>
      </c>
      <c r="F50" s="53" t="str">
        <f t="shared" ca="1" si="11"/>
        <v/>
      </c>
      <c r="G50" s="53">
        <f t="shared" ca="1" si="12"/>
        <v>0</v>
      </c>
      <c r="H50" s="53">
        <f t="shared" ca="1" si="13"/>
        <v>0</v>
      </c>
      <c r="I50" s="53">
        <f t="shared" ca="1" si="14"/>
        <v>0</v>
      </c>
      <c r="J50" s="53">
        <f t="shared" ca="1" si="15"/>
        <v>0</v>
      </c>
      <c r="K50" s="30"/>
      <c r="L50" s="53">
        <f t="shared" ca="1" si="16"/>
        <v>0</v>
      </c>
      <c r="M50" s="53">
        <f t="shared" ca="1" si="17"/>
        <v>0</v>
      </c>
      <c r="N50" s="27"/>
      <c r="P50" s="26"/>
      <c r="Q50" s="25"/>
      <c r="V50" s="18" t="b">
        <f>IF(D03_Number_of_Loans&gt;=34,FALSE,TRUE)</f>
        <v>1</v>
      </c>
    </row>
    <row r="51" spans="2:22" ht="17.25" hidden="1" customHeight="1">
      <c r="B51" s="31"/>
      <c r="C51" s="56"/>
      <c r="D51" s="55" t="e">
        <f t="shared" ca="1" si="9"/>
        <v>#N/A</v>
      </c>
      <c r="E51" s="54" t="e">
        <f t="shared" ca="1" si="10"/>
        <v>#N/A</v>
      </c>
      <c r="F51" s="53" t="str">
        <f t="shared" ca="1" si="11"/>
        <v/>
      </c>
      <c r="G51" s="53">
        <f t="shared" ca="1" si="12"/>
        <v>0</v>
      </c>
      <c r="H51" s="53">
        <f t="shared" ca="1" si="13"/>
        <v>0</v>
      </c>
      <c r="I51" s="53">
        <f t="shared" ca="1" si="14"/>
        <v>0</v>
      </c>
      <c r="J51" s="53">
        <f t="shared" ca="1" si="15"/>
        <v>0</v>
      </c>
      <c r="K51" s="30"/>
      <c r="L51" s="53">
        <f t="shared" ca="1" si="16"/>
        <v>0</v>
      </c>
      <c r="M51" s="53">
        <f t="shared" ca="1" si="17"/>
        <v>0</v>
      </c>
      <c r="N51" s="27"/>
      <c r="P51" s="26"/>
      <c r="Q51" s="25"/>
      <c r="V51" s="18" t="b">
        <f>IF(D03_Number_of_Loans&gt;=35,FALSE,TRUE)</f>
        <v>1</v>
      </c>
    </row>
    <row r="52" spans="2:22" ht="17.25" hidden="1" customHeight="1">
      <c r="B52" s="31"/>
      <c r="C52" s="56"/>
      <c r="D52" s="55" t="e">
        <f t="shared" ca="1" si="9"/>
        <v>#N/A</v>
      </c>
      <c r="E52" s="54" t="e">
        <f t="shared" ca="1" si="10"/>
        <v>#N/A</v>
      </c>
      <c r="F52" s="53" t="str">
        <f t="shared" ca="1" si="11"/>
        <v/>
      </c>
      <c r="G52" s="53">
        <f t="shared" ca="1" si="12"/>
        <v>0</v>
      </c>
      <c r="H52" s="53">
        <f t="shared" ca="1" si="13"/>
        <v>0</v>
      </c>
      <c r="I52" s="53">
        <f t="shared" ca="1" si="14"/>
        <v>0</v>
      </c>
      <c r="J52" s="53">
        <f t="shared" ca="1" si="15"/>
        <v>0</v>
      </c>
      <c r="K52" s="30"/>
      <c r="L52" s="53">
        <f t="shared" ca="1" si="16"/>
        <v>0</v>
      </c>
      <c r="M52" s="53">
        <f t="shared" ca="1" si="17"/>
        <v>0</v>
      </c>
      <c r="N52" s="27"/>
      <c r="P52" s="26"/>
      <c r="Q52" s="25"/>
      <c r="V52" s="18" t="b">
        <f>IF(D03_Number_of_Loans&gt;=36,FALSE,TRUE)</f>
        <v>1</v>
      </c>
    </row>
    <row r="53" spans="2:22" ht="17.25" hidden="1" customHeight="1">
      <c r="B53" s="31"/>
      <c r="C53" s="56"/>
      <c r="D53" s="55" t="e">
        <f t="shared" ca="1" si="9"/>
        <v>#N/A</v>
      </c>
      <c r="E53" s="54" t="e">
        <f t="shared" ca="1" si="10"/>
        <v>#N/A</v>
      </c>
      <c r="F53" s="53" t="str">
        <f t="shared" ca="1" si="11"/>
        <v/>
      </c>
      <c r="G53" s="53">
        <f t="shared" ca="1" si="12"/>
        <v>0</v>
      </c>
      <c r="H53" s="53">
        <f t="shared" ca="1" si="13"/>
        <v>0</v>
      </c>
      <c r="I53" s="53">
        <f t="shared" ca="1" si="14"/>
        <v>0</v>
      </c>
      <c r="J53" s="53">
        <f t="shared" ca="1" si="15"/>
        <v>0</v>
      </c>
      <c r="K53" s="30"/>
      <c r="L53" s="53">
        <f t="shared" ca="1" si="16"/>
        <v>0</v>
      </c>
      <c r="M53" s="53">
        <f t="shared" ca="1" si="17"/>
        <v>0</v>
      </c>
      <c r="N53" s="27"/>
      <c r="P53" s="26"/>
      <c r="Q53" s="25"/>
      <c r="V53" s="18" t="b">
        <f>IF(D03_Number_of_Loans&gt;=37,FALSE,TRUE)</f>
        <v>1</v>
      </c>
    </row>
    <row r="54" spans="2:22" ht="17.25" hidden="1" customHeight="1">
      <c r="B54" s="31"/>
      <c r="C54" s="56"/>
      <c r="D54" s="55" t="e">
        <f t="shared" ca="1" si="9"/>
        <v>#N/A</v>
      </c>
      <c r="E54" s="54" t="e">
        <f t="shared" ca="1" si="10"/>
        <v>#N/A</v>
      </c>
      <c r="F54" s="53" t="str">
        <f t="shared" ca="1" si="11"/>
        <v/>
      </c>
      <c r="G54" s="53">
        <f t="shared" ca="1" si="12"/>
        <v>0</v>
      </c>
      <c r="H54" s="53">
        <f t="shared" ca="1" si="13"/>
        <v>0</v>
      </c>
      <c r="I54" s="53">
        <f t="shared" ca="1" si="14"/>
        <v>0</v>
      </c>
      <c r="J54" s="53">
        <f t="shared" ca="1" si="15"/>
        <v>0</v>
      </c>
      <c r="K54" s="30"/>
      <c r="L54" s="53">
        <f t="shared" ca="1" si="16"/>
        <v>0</v>
      </c>
      <c r="M54" s="53">
        <f t="shared" ca="1" si="17"/>
        <v>0</v>
      </c>
      <c r="N54" s="27"/>
      <c r="P54" s="26"/>
      <c r="Q54" s="25"/>
      <c r="V54" s="18" t="b">
        <f>IF(D03_Number_of_Loans&gt;=38,FALSE,TRUE)</f>
        <v>1</v>
      </c>
    </row>
    <row r="55" spans="2:22" ht="17.25" hidden="1" customHeight="1">
      <c r="B55" s="31"/>
      <c r="C55" s="56"/>
      <c r="D55" s="55" t="e">
        <f t="shared" ca="1" si="9"/>
        <v>#N/A</v>
      </c>
      <c r="E55" s="54" t="e">
        <f t="shared" ca="1" si="10"/>
        <v>#N/A</v>
      </c>
      <c r="F55" s="53" t="str">
        <f t="shared" ca="1" si="11"/>
        <v/>
      </c>
      <c r="G55" s="53">
        <f t="shared" ca="1" si="12"/>
        <v>0</v>
      </c>
      <c r="H55" s="53">
        <f t="shared" ca="1" si="13"/>
        <v>0</v>
      </c>
      <c r="I55" s="53">
        <f t="shared" ca="1" si="14"/>
        <v>0</v>
      </c>
      <c r="J55" s="53">
        <f t="shared" ca="1" si="15"/>
        <v>0</v>
      </c>
      <c r="K55" s="30"/>
      <c r="L55" s="53">
        <f t="shared" ca="1" si="16"/>
        <v>0</v>
      </c>
      <c r="M55" s="53">
        <f t="shared" ca="1" si="17"/>
        <v>0</v>
      </c>
      <c r="N55" s="27"/>
      <c r="P55" s="26"/>
      <c r="Q55" s="25"/>
      <c r="V55" s="18" t="b">
        <f>IF(D03_Number_of_Loans&gt;=39,FALSE,TRUE)</f>
        <v>1</v>
      </c>
    </row>
    <row r="56" spans="2:22" ht="17.25" hidden="1" customHeight="1">
      <c r="B56" s="31"/>
      <c r="C56" s="56"/>
      <c r="D56" s="55" t="e">
        <f t="shared" ca="1" si="9"/>
        <v>#N/A</v>
      </c>
      <c r="E56" s="54" t="e">
        <f t="shared" ca="1" si="10"/>
        <v>#N/A</v>
      </c>
      <c r="F56" s="53" t="str">
        <f t="shared" ca="1" si="11"/>
        <v/>
      </c>
      <c r="G56" s="53">
        <f t="shared" ca="1" si="12"/>
        <v>0</v>
      </c>
      <c r="H56" s="53">
        <f t="shared" ca="1" si="13"/>
        <v>0</v>
      </c>
      <c r="I56" s="53">
        <f t="shared" ca="1" si="14"/>
        <v>0</v>
      </c>
      <c r="J56" s="53">
        <f t="shared" ca="1" si="15"/>
        <v>0</v>
      </c>
      <c r="K56" s="30"/>
      <c r="L56" s="53">
        <f t="shared" ca="1" si="16"/>
        <v>0</v>
      </c>
      <c r="M56" s="53">
        <f t="shared" ca="1" si="17"/>
        <v>0</v>
      </c>
      <c r="N56" s="27"/>
      <c r="P56" s="26"/>
      <c r="Q56" s="25"/>
      <c r="V56" s="18" t="b">
        <f>IF(D03_Number_of_Loans&gt;=40,FALSE,TRUE)</f>
        <v>1</v>
      </c>
    </row>
    <row r="57" spans="2:22" ht="17.25" hidden="1" customHeight="1">
      <c r="B57" s="31"/>
      <c r="C57" s="56"/>
      <c r="D57" s="55" t="e">
        <f t="shared" ca="1" si="9"/>
        <v>#N/A</v>
      </c>
      <c r="E57" s="54" t="e">
        <f t="shared" ca="1" si="10"/>
        <v>#N/A</v>
      </c>
      <c r="F57" s="53" t="str">
        <f t="shared" ca="1" si="11"/>
        <v/>
      </c>
      <c r="G57" s="53">
        <f t="shared" ca="1" si="12"/>
        <v>0</v>
      </c>
      <c r="H57" s="53">
        <f t="shared" ca="1" si="13"/>
        <v>0</v>
      </c>
      <c r="I57" s="53">
        <f t="shared" ca="1" si="14"/>
        <v>0</v>
      </c>
      <c r="J57" s="53">
        <f t="shared" ca="1" si="15"/>
        <v>0</v>
      </c>
      <c r="K57" s="30"/>
      <c r="L57" s="53">
        <f t="shared" ca="1" si="16"/>
        <v>0</v>
      </c>
      <c r="M57" s="53">
        <f t="shared" ca="1" si="17"/>
        <v>0</v>
      </c>
      <c r="N57" s="27"/>
      <c r="P57" s="26"/>
      <c r="Q57" s="25"/>
      <c r="V57" s="18" t="b">
        <f>IF(D03_Number_of_Loans&gt;=41,FALSE,TRUE)</f>
        <v>1</v>
      </c>
    </row>
    <row r="58" spans="2:22" ht="17.25" hidden="1" customHeight="1">
      <c r="B58" s="31"/>
      <c r="C58" s="56"/>
      <c r="D58" s="55" t="e">
        <f t="shared" ca="1" si="9"/>
        <v>#N/A</v>
      </c>
      <c r="E58" s="54" t="e">
        <f t="shared" ca="1" si="10"/>
        <v>#N/A</v>
      </c>
      <c r="F58" s="53" t="str">
        <f t="shared" ca="1" si="11"/>
        <v/>
      </c>
      <c r="G58" s="53">
        <f t="shared" ca="1" si="12"/>
        <v>0</v>
      </c>
      <c r="H58" s="53">
        <f t="shared" ca="1" si="13"/>
        <v>0</v>
      </c>
      <c r="I58" s="53">
        <f t="shared" ca="1" si="14"/>
        <v>0</v>
      </c>
      <c r="J58" s="53">
        <f t="shared" ca="1" si="15"/>
        <v>0</v>
      </c>
      <c r="K58" s="30"/>
      <c r="L58" s="53">
        <f t="shared" ca="1" si="16"/>
        <v>0</v>
      </c>
      <c r="M58" s="53">
        <f t="shared" ca="1" si="17"/>
        <v>0</v>
      </c>
      <c r="N58" s="27"/>
      <c r="P58" s="26"/>
      <c r="Q58" s="25"/>
      <c r="V58" s="18" t="b">
        <f>IF(D03_Number_of_Loans&gt;=42,FALSE,TRUE)</f>
        <v>1</v>
      </c>
    </row>
    <row r="59" spans="2:22" ht="17.25" hidden="1" customHeight="1">
      <c r="B59" s="31"/>
      <c r="C59" s="56"/>
      <c r="D59" s="55" t="e">
        <f t="shared" ca="1" si="9"/>
        <v>#N/A</v>
      </c>
      <c r="E59" s="54" t="e">
        <f t="shared" ca="1" si="10"/>
        <v>#N/A</v>
      </c>
      <c r="F59" s="53" t="str">
        <f t="shared" ca="1" si="11"/>
        <v/>
      </c>
      <c r="G59" s="53">
        <f t="shared" ca="1" si="12"/>
        <v>0</v>
      </c>
      <c r="H59" s="53">
        <f t="shared" ca="1" si="13"/>
        <v>0</v>
      </c>
      <c r="I59" s="53">
        <f t="shared" ca="1" si="14"/>
        <v>0</v>
      </c>
      <c r="J59" s="53">
        <f t="shared" ca="1" si="15"/>
        <v>0</v>
      </c>
      <c r="K59" s="30"/>
      <c r="L59" s="53">
        <f t="shared" ca="1" si="16"/>
        <v>0</v>
      </c>
      <c r="M59" s="53">
        <f t="shared" ca="1" si="17"/>
        <v>0</v>
      </c>
      <c r="N59" s="27"/>
      <c r="P59" s="26"/>
      <c r="Q59" s="25"/>
      <c r="V59" s="18" t="b">
        <f>IF(D03_Number_of_Loans&gt;=43,FALSE,TRUE)</f>
        <v>1</v>
      </c>
    </row>
    <row r="60" spans="2:22" ht="17.25" hidden="1" customHeight="1">
      <c r="B60" s="31"/>
      <c r="C60" s="56"/>
      <c r="D60" s="55" t="e">
        <f t="shared" ca="1" si="9"/>
        <v>#N/A</v>
      </c>
      <c r="E60" s="54" t="e">
        <f t="shared" ca="1" si="10"/>
        <v>#N/A</v>
      </c>
      <c r="F60" s="53" t="str">
        <f t="shared" ca="1" si="11"/>
        <v/>
      </c>
      <c r="G60" s="53">
        <f t="shared" ca="1" si="12"/>
        <v>0</v>
      </c>
      <c r="H60" s="53">
        <f t="shared" ca="1" si="13"/>
        <v>0</v>
      </c>
      <c r="I60" s="53">
        <f t="shared" ca="1" si="14"/>
        <v>0</v>
      </c>
      <c r="J60" s="53">
        <f t="shared" ca="1" si="15"/>
        <v>0</v>
      </c>
      <c r="K60" s="30"/>
      <c r="L60" s="53">
        <f t="shared" ca="1" si="16"/>
        <v>0</v>
      </c>
      <c r="M60" s="53">
        <f t="shared" ca="1" si="17"/>
        <v>0</v>
      </c>
      <c r="N60" s="27"/>
      <c r="P60" s="26"/>
      <c r="Q60" s="25"/>
      <c r="V60" s="18" t="b">
        <f>IF(D03_Number_of_Loans&gt;=44,FALSE,TRUE)</f>
        <v>1</v>
      </c>
    </row>
    <row r="61" spans="2:22" ht="17.25" hidden="1" customHeight="1">
      <c r="B61" s="31"/>
      <c r="C61" s="56"/>
      <c r="D61" s="55" t="e">
        <f t="shared" ca="1" si="9"/>
        <v>#N/A</v>
      </c>
      <c r="E61" s="54" t="e">
        <f t="shared" ca="1" si="10"/>
        <v>#N/A</v>
      </c>
      <c r="F61" s="53" t="str">
        <f t="shared" ca="1" si="11"/>
        <v/>
      </c>
      <c r="G61" s="53">
        <f t="shared" ca="1" si="12"/>
        <v>0</v>
      </c>
      <c r="H61" s="53">
        <f t="shared" ca="1" si="13"/>
        <v>0</v>
      </c>
      <c r="I61" s="53">
        <f t="shared" ca="1" si="14"/>
        <v>0</v>
      </c>
      <c r="J61" s="53">
        <f t="shared" ca="1" si="15"/>
        <v>0</v>
      </c>
      <c r="K61" s="30"/>
      <c r="L61" s="53">
        <f t="shared" ca="1" si="16"/>
        <v>0</v>
      </c>
      <c r="M61" s="53">
        <f t="shared" ca="1" si="17"/>
        <v>0</v>
      </c>
      <c r="N61" s="27"/>
      <c r="P61" s="26"/>
      <c r="Q61" s="25"/>
      <c r="V61" s="18" t="b">
        <f>IF(D03_Number_of_Loans&gt;=45,FALSE,TRUE)</f>
        <v>1</v>
      </c>
    </row>
    <row r="62" spans="2:22" ht="17.25" hidden="1" customHeight="1">
      <c r="B62" s="31"/>
      <c r="C62" s="56"/>
      <c r="D62" s="55" t="e">
        <f t="shared" ca="1" si="9"/>
        <v>#N/A</v>
      </c>
      <c r="E62" s="54" t="e">
        <f t="shared" ca="1" si="10"/>
        <v>#N/A</v>
      </c>
      <c r="F62" s="53" t="str">
        <f t="shared" ca="1" si="11"/>
        <v/>
      </c>
      <c r="G62" s="53">
        <f t="shared" ca="1" si="12"/>
        <v>0</v>
      </c>
      <c r="H62" s="53">
        <f t="shared" ca="1" si="13"/>
        <v>0</v>
      </c>
      <c r="I62" s="53">
        <f t="shared" ca="1" si="14"/>
        <v>0</v>
      </c>
      <c r="J62" s="53">
        <f t="shared" ca="1" si="15"/>
        <v>0</v>
      </c>
      <c r="K62" s="30"/>
      <c r="L62" s="53">
        <f t="shared" ca="1" si="16"/>
        <v>0</v>
      </c>
      <c r="M62" s="53">
        <f t="shared" ca="1" si="17"/>
        <v>0</v>
      </c>
      <c r="N62" s="27"/>
      <c r="P62" s="26"/>
      <c r="Q62" s="25"/>
      <c r="V62" s="18" t="b">
        <f>IF(D03_Number_of_Loans&gt;=46,FALSE,TRUE)</f>
        <v>1</v>
      </c>
    </row>
    <row r="63" spans="2:22" ht="17.25" hidden="1" customHeight="1">
      <c r="B63" s="31"/>
      <c r="C63" s="56"/>
      <c r="D63" s="55" t="e">
        <f t="shared" ca="1" si="9"/>
        <v>#N/A</v>
      </c>
      <c r="E63" s="54" t="e">
        <f t="shared" ca="1" si="10"/>
        <v>#N/A</v>
      </c>
      <c r="F63" s="53" t="str">
        <f t="shared" ca="1" si="11"/>
        <v/>
      </c>
      <c r="G63" s="53">
        <f t="shared" ca="1" si="12"/>
        <v>0</v>
      </c>
      <c r="H63" s="53">
        <f t="shared" ca="1" si="13"/>
        <v>0</v>
      </c>
      <c r="I63" s="53">
        <f t="shared" ca="1" si="14"/>
        <v>0</v>
      </c>
      <c r="J63" s="53">
        <f t="shared" ca="1" si="15"/>
        <v>0</v>
      </c>
      <c r="K63" s="30"/>
      <c r="L63" s="53">
        <f t="shared" ca="1" si="16"/>
        <v>0</v>
      </c>
      <c r="M63" s="53">
        <f t="shared" ca="1" si="17"/>
        <v>0</v>
      </c>
      <c r="N63" s="27"/>
      <c r="P63" s="26"/>
      <c r="Q63" s="25"/>
      <c r="V63" s="18" t="b">
        <f>IF(D03_Number_of_Loans&gt;=47,FALSE,TRUE)</f>
        <v>1</v>
      </c>
    </row>
    <row r="64" spans="2:22" ht="17.25" hidden="1" customHeight="1">
      <c r="B64" s="31"/>
      <c r="C64" s="56"/>
      <c r="D64" s="55" t="e">
        <f t="shared" ca="1" si="9"/>
        <v>#N/A</v>
      </c>
      <c r="E64" s="54" t="e">
        <f t="shared" ca="1" si="10"/>
        <v>#N/A</v>
      </c>
      <c r="F64" s="53" t="str">
        <f t="shared" ca="1" si="11"/>
        <v/>
      </c>
      <c r="G64" s="53">
        <f t="shared" ca="1" si="12"/>
        <v>0</v>
      </c>
      <c r="H64" s="53">
        <f t="shared" ca="1" si="13"/>
        <v>0</v>
      </c>
      <c r="I64" s="53">
        <f t="shared" ca="1" si="14"/>
        <v>0</v>
      </c>
      <c r="J64" s="53">
        <f t="shared" ca="1" si="15"/>
        <v>0</v>
      </c>
      <c r="K64" s="30"/>
      <c r="L64" s="53">
        <f t="shared" ca="1" si="16"/>
        <v>0</v>
      </c>
      <c r="M64" s="53">
        <f t="shared" ca="1" si="17"/>
        <v>0</v>
      </c>
      <c r="N64" s="27"/>
      <c r="P64" s="26"/>
      <c r="Q64" s="25"/>
      <c r="V64" s="18" t="b">
        <f>IF(D03_Number_of_Loans&gt;=48,FALSE,TRUE)</f>
        <v>1</v>
      </c>
    </row>
    <row r="65" spans="2:22" ht="17.25" hidden="1" customHeight="1">
      <c r="B65" s="31"/>
      <c r="C65" s="56"/>
      <c r="D65" s="55" t="e">
        <f t="shared" ca="1" si="9"/>
        <v>#N/A</v>
      </c>
      <c r="E65" s="54" t="e">
        <f t="shared" ca="1" si="10"/>
        <v>#N/A</v>
      </c>
      <c r="F65" s="53" t="str">
        <f t="shared" ca="1" si="11"/>
        <v/>
      </c>
      <c r="G65" s="53">
        <f t="shared" ca="1" si="12"/>
        <v>0</v>
      </c>
      <c r="H65" s="53">
        <f t="shared" ca="1" si="13"/>
        <v>0</v>
      </c>
      <c r="I65" s="53">
        <f t="shared" ca="1" si="14"/>
        <v>0</v>
      </c>
      <c r="J65" s="53">
        <f t="shared" ca="1" si="15"/>
        <v>0</v>
      </c>
      <c r="K65" s="30"/>
      <c r="L65" s="53">
        <f t="shared" ca="1" si="16"/>
        <v>0</v>
      </c>
      <c r="M65" s="53">
        <f t="shared" ca="1" si="17"/>
        <v>0</v>
      </c>
      <c r="N65" s="27"/>
      <c r="P65" s="26"/>
      <c r="Q65" s="25"/>
      <c r="V65" s="18" t="b">
        <f>IF(D03_Number_of_Loans&gt;=49,FALSE,TRUE)</f>
        <v>1</v>
      </c>
    </row>
    <row r="66" spans="2:22" ht="17.25" hidden="1" customHeight="1">
      <c r="B66" s="31"/>
      <c r="C66" s="56"/>
      <c r="D66" s="55" t="e">
        <f t="shared" ca="1" si="9"/>
        <v>#N/A</v>
      </c>
      <c r="E66" s="54" t="e">
        <f t="shared" ca="1" si="10"/>
        <v>#N/A</v>
      </c>
      <c r="F66" s="53" t="str">
        <f t="shared" ca="1" si="11"/>
        <v/>
      </c>
      <c r="G66" s="53">
        <f t="shared" ca="1" si="12"/>
        <v>0</v>
      </c>
      <c r="H66" s="53">
        <f t="shared" ca="1" si="13"/>
        <v>0</v>
      </c>
      <c r="I66" s="53">
        <f t="shared" ca="1" si="14"/>
        <v>0</v>
      </c>
      <c r="J66" s="53">
        <f t="shared" ca="1" si="15"/>
        <v>0</v>
      </c>
      <c r="K66" s="30"/>
      <c r="L66" s="53">
        <f t="shared" ca="1" si="16"/>
        <v>0</v>
      </c>
      <c r="M66" s="53">
        <f t="shared" ca="1" si="17"/>
        <v>0</v>
      </c>
      <c r="N66" s="27"/>
      <c r="P66" s="26"/>
      <c r="Q66" s="25"/>
      <c r="V66" s="18" t="b">
        <f>IF(D03_Number_of_Loans&gt;=50,FALSE,TRUE)</f>
        <v>1</v>
      </c>
    </row>
    <row r="67" spans="2:22" ht="7.5" customHeight="1">
      <c r="B67" s="52"/>
      <c r="C67" s="51"/>
      <c r="D67" s="50"/>
      <c r="E67" s="50"/>
      <c r="F67" s="50"/>
      <c r="G67" s="50"/>
      <c r="H67" s="50"/>
      <c r="I67" s="50"/>
      <c r="J67" s="50"/>
      <c r="K67" s="50"/>
      <c r="L67" s="50"/>
      <c r="M67" s="50"/>
      <c r="N67" s="49"/>
    </row>
    <row r="68" spans="2:22" ht="22.5" customHeight="1">
      <c r="C68" s="48"/>
      <c r="D68" s="30"/>
      <c r="E68" s="30"/>
      <c r="F68" s="30"/>
      <c r="G68" s="30"/>
      <c r="H68" s="30"/>
      <c r="I68" s="30"/>
      <c r="J68" s="30"/>
      <c r="K68" s="30"/>
      <c r="L68" s="30"/>
      <c r="M68" s="30"/>
    </row>
    <row r="69" spans="2:22" ht="22.5" customHeight="1">
      <c r="B69" s="258" t="s">
        <v>96</v>
      </c>
      <c r="C69" s="259"/>
      <c r="D69" s="260"/>
      <c r="H69" s="39" t="s">
        <v>95</v>
      </c>
      <c r="I69" s="39"/>
      <c r="J69" s="41"/>
      <c r="K69" s="39"/>
      <c r="L69" s="39"/>
      <c r="M69" s="39"/>
    </row>
    <row r="70" spans="2:22" ht="7.5" customHeight="1">
      <c r="B70" s="38"/>
      <c r="C70" s="37"/>
      <c r="D70" s="39"/>
      <c r="E70" s="47"/>
      <c r="F70" s="47"/>
      <c r="G70" s="46"/>
      <c r="H70" s="46"/>
      <c r="I70" s="46"/>
      <c r="J70" s="39"/>
      <c r="K70" s="46"/>
      <c r="L70" s="46"/>
      <c r="M70" s="46"/>
      <c r="N70" s="34"/>
    </row>
    <row r="71" spans="2:22" ht="22.5" customHeight="1">
      <c r="B71" s="38"/>
      <c r="C71" s="37"/>
      <c r="D71" s="39"/>
      <c r="E71" s="39"/>
      <c r="F71" s="39"/>
      <c r="H71" s="39"/>
      <c r="I71" s="45" t="s">
        <v>94</v>
      </c>
      <c r="J71" s="44">
        <v>1</v>
      </c>
      <c r="K71" s="39"/>
      <c r="L71" s="264" t="s">
        <v>93</v>
      </c>
      <c r="M71" s="265"/>
      <c r="N71" s="27"/>
      <c r="P71" s="18"/>
    </row>
    <row r="72" spans="2:22" ht="7.5" customHeight="1">
      <c r="B72" s="38"/>
      <c r="C72" s="37"/>
      <c r="D72" s="39"/>
      <c r="E72" s="39"/>
      <c r="F72" s="39"/>
      <c r="G72" s="39"/>
      <c r="H72" s="39"/>
      <c r="I72" s="39"/>
      <c r="J72" s="39"/>
      <c r="K72" s="39"/>
      <c r="L72" s="39"/>
      <c r="M72" s="39"/>
      <c r="N72" s="27"/>
    </row>
    <row r="73" spans="2:22" ht="16.899999999999999" customHeight="1">
      <c r="B73" s="31"/>
      <c r="C73" s="43" t="str" cm="1">
        <f t="array" aca="1" ref="C73:C74" ca="1">IFERROR(_xlfn.UNIQUE(F17:F66),"")</f>
        <v>Director A</v>
      </c>
      <c r="D73" s="39"/>
      <c r="E73" s="39"/>
      <c r="F73" s="39"/>
      <c r="G73" s="33">
        <f t="shared" ref="G73:G82" ca="1" si="18">SUMIF($F$17:$F$67,$C73,INDEX(INDIRECT("A17:M66"),0,MATCH("Opening Balance",INDIRECT("15:15"),0)))</f>
        <v>10000</v>
      </c>
      <c r="H73" s="33">
        <f t="shared" ref="H73:H82" ca="1" si="19">SUMIF($F$17:$F$67,$C73,INDEX(INDIRECT("A17:M66"),0,MATCH("Actual Payments",INDIRECT("15:15"),0)))</f>
        <v>0</v>
      </c>
      <c r="I73" s="33">
        <f t="shared" ref="I73:I82" ca="1" si="20">SUMIF($F$17:$F$67,$C73,INDEX(INDIRECT("A17:M66"),0,MATCH("Interest",INDIRECT("15:15"),0)))</f>
        <v>827</v>
      </c>
      <c r="J73" s="42">
        <f t="shared" ref="J73:J82" ca="1" si="21">SUMIF($F$17:$F$67,$C73,INDEX(INDIRECT("A17:M66"),0,MATCH("Closing Balance",INDIRECT("15:15"),0)))</f>
        <v>10827</v>
      </c>
      <c r="K73" s="28"/>
      <c r="L73" s="28"/>
      <c r="M73" s="28"/>
      <c r="N73" s="27"/>
      <c r="P73" s="26"/>
      <c r="Q73" s="25"/>
      <c r="V73" s="18" t="b">
        <f>IF(D03_Number_of_Directors&gt;=1,FALSE,TRUE)</f>
        <v>0</v>
      </c>
    </row>
    <row r="74" spans="2:22" ht="16.899999999999999" hidden="1" customHeight="1">
      <c r="B74" s="31"/>
      <c r="C74" s="32" t="str">
        <f ca="1"/>
        <v/>
      </c>
      <c r="D74" s="39"/>
      <c r="E74" s="39"/>
      <c r="F74" s="39"/>
      <c r="G74" s="33">
        <f t="shared" ca="1" si="18"/>
        <v>0</v>
      </c>
      <c r="H74" s="33">
        <f t="shared" ca="1" si="19"/>
        <v>0</v>
      </c>
      <c r="I74" s="33">
        <f t="shared" ca="1" si="20"/>
        <v>0</v>
      </c>
      <c r="J74" s="42">
        <f t="shared" ca="1" si="21"/>
        <v>0</v>
      </c>
      <c r="K74" s="28"/>
      <c r="L74" s="28"/>
      <c r="M74" s="28"/>
      <c r="N74" s="27"/>
      <c r="P74" s="26"/>
      <c r="Q74" s="25"/>
      <c r="V74" s="18" t="b">
        <f>IF(D03_Number_of_Directors&gt;=2,FALSE,TRUE)</f>
        <v>1</v>
      </c>
    </row>
    <row r="75" spans="2:22" ht="16.899999999999999" hidden="1" customHeight="1">
      <c r="B75" s="31"/>
      <c r="C75" s="32"/>
      <c r="D75" s="39"/>
      <c r="E75" s="39"/>
      <c r="F75" s="39"/>
      <c r="G75" s="33">
        <f t="shared" ca="1" si="18"/>
        <v>0</v>
      </c>
      <c r="H75" s="33">
        <f t="shared" ca="1" si="19"/>
        <v>0</v>
      </c>
      <c r="I75" s="33">
        <f t="shared" ca="1" si="20"/>
        <v>0</v>
      </c>
      <c r="J75" s="42">
        <f t="shared" ca="1" si="21"/>
        <v>0</v>
      </c>
      <c r="K75" s="28"/>
      <c r="L75" s="28"/>
      <c r="M75" s="28"/>
      <c r="N75" s="27"/>
      <c r="P75" s="26"/>
      <c r="Q75" s="25"/>
      <c r="V75" s="18" t="b">
        <f>IF(D03_Number_of_Directors&gt;=3,FALSE,TRUE)</f>
        <v>1</v>
      </c>
    </row>
    <row r="76" spans="2:22" ht="16.899999999999999" hidden="1" customHeight="1">
      <c r="B76" s="31"/>
      <c r="C76" s="32"/>
      <c r="D76" s="39"/>
      <c r="E76" s="39"/>
      <c r="F76" s="39"/>
      <c r="G76" s="33">
        <f t="shared" ca="1" si="18"/>
        <v>0</v>
      </c>
      <c r="H76" s="33">
        <f t="shared" ca="1" si="19"/>
        <v>0</v>
      </c>
      <c r="I76" s="33">
        <f t="shared" ca="1" si="20"/>
        <v>0</v>
      </c>
      <c r="J76" s="42">
        <f t="shared" ca="1" si="21"/>
        <v>0</v>
      </c>
      <c r="K76" s="28"/>
      <c r="L76" s="28"/>
      <c r="M76" s="28"/>
      <c r="N76" s="27"/>
      <c r="P76" s="26"/>
      <c r="Q76" s="25"/>
      <c r="V76" s="18" t="b">
        <f>IF(D03_Number_of_Directors&gt;=4,FALSE,TRUE)</f>
        <v>1</v>
      </c>
    </row>
    <row r="77" spans="2:22" ht="16.899999999999999" hidden="1" customHeight="1">
      <c r="B77" s="31"/>
      <c r="C77" s="32"/>
      <c r="D77" s="39"/>
      <c r="E77" s="39"/>
      <c r="F77" s="39"/>
      <c r="G77" s="33">
        <f t="shared" ca="1" si="18"/>
        <v>0</v>
      </c>
      <c r="H77" s="33">
        <f t="shared" ca="1" si="19"/>
        <v>0</v>
      </c>
      <c r="I77" s="33">
        <f t="shared" ca="1" si="20"/>
        <v>0</v>
      </c>
      <c r="J77" s="42">
        <f t="shared" ca="1" si="21"/>
        <v>0</v>
      </c>
      <c r="K77" s="28"/>
      <c r="L77" s="28"/>
      <c r="M77" s="28"/>
      <c r="N77" s="27"/>
      <c r="P77" s="26"/>
      <c r="Q77" s="25"/>
      <c r="V77" s="18" t="b">
        <f>IF(D03_Number_of_Directors&gt;=5,FALSE,TRUE)</f>
        <v>1</v>
      </c>
    </row>
    <row r="78" spans="2:22" ht="16.899999999999999" hidden="1" customHeight="1">
      <c r="B78" s="31"/>
      <c r="C78" s="32"/>
      <c r="D78" s="39"/>
      <c r="E78" s="39"/>
      <c r="F78" s="39"/>
      <c r="G78" s="33">
        <f t="shared" ca="1" si="18"/>
        <v>0</v>
      </c>
      <c r="H78" s="33">
        <f t="shared" ca="1" si="19"/>
        <v>0</v>
      </c>
      <c r="I78" s="33">
        <f t="shared" ca="1" si="20"/>
        <v>0</v>
      </c>
      <c r="J78" s="42">
        <f t="shared" ca="1" si="21"/>
        <v>0</v>
      </c>
      <c r="K78" s="28"/>
      <c r="L78" s="28"/>
      <c r="M78" s="28"/>
      <c r="N78" s="27"/>
      <c r="P78" s="26"/>
      <c r="Q78" s="25"/>
      <c r="V78" s="18" t="b">
        <f>IF(D03_Number_of_Directors&gt;=6,FALSE,TRUE)</f>
        <v>1</v>
      </c>
    </row>
    <row r="79" spans="2:22" ht="16.899999999999999" hidden="1" customHeight="1">
      <c r="B79" s="31"/>
      <c r="C79" s="32"/>
      <c r="D79" s="39"/>
      <c r="E79" s="39"/>
      <c r="F79" s="39"/>
      <c r="G79" s="33">
        <f t="shared" ca="1" si="18"/>
        <v>0</v>
      </c>
      <c r="H79" s="33">
        <f t="shared" ca="1" si="19"/>
        <v>0</v>
      </c>
      <c r="I79" s="33">
        <f t="shared" ca="1" si="20"/>
        <v>0</v>
      </c>
      <c r="J79" s="42">
        <f t="shared" ca="1" si="21"/>
        <v>0</v>
      </c>
      <c r="K79" s="28"/>
      <c r="L79" s="28"/>
      <c r="M79" s="28"/>
      <c r="N79" s="27"/>
      <c r="P79" s="26"/>
      <c r="Q79" s="25"/>
      <c r="V79" s="18" t="b">
        <f>IF(D03_Number_of_Directors&gt;=7,FALSE,TRUE)</f>
        <v>1</v>
      </c>
    </row>
    <row r="80" spans="2:22" ht="16.899999999999999" hidden="1" customHeight="1">
      <c r="B80" s="31"/>
      <c r="C80" s="32"/>
      <c r="D80" s="39"/>
      <c r="E80" s="39"/>
      <c r="F80" s="39"/>
      <c r="G80" s="33">
        <f t="shared" ca="1" si="18"/>
        <v>0</v>
      </c>
      <c r="H80" s="33">
        <f t="shared" ca="1" si="19"/>
        <v>0</v>
      </c>
      <c r="I80" s="33">
        <f t="shared" ca="1" si="20"/>
        <v>0</v>
      </c>
      <c r="J80" s="42">
        <f t="shared" ca="1" si="21"/>
        <v>0</v>
      </c>
      <c r="K80" s="28"/>
      <c r="L80" s="28"/>
      <c r="M80" s="28"/>
      <c r="N80" s="27"/>
      <c r="P80" s="26"/>
      <c r="Q80" s="25"/>
      <c r="V80" s="18" t="b">
        <f>IF(D03_Number_of_Directors&gt;=8,FALSE,TRUE)</f>
        <v>1</v>
      </c>
    </row>
    <row r="81" spans="2:22" ht="16.899999999999999" hidden="1" customHeight="1">
      <c r="B81" s="31"/>
      <c r="C81" s="32"/>
      <c r="D81" s="39"/>
      <c r="E81" s="39"/>
      <c r="F81" s="39"/>
      <c r="G81" s="33">
        <f t="shared" ca="1" si="18"/>
        <v>0</v>
      </c>
      <c r="H81" s="33">
        <f t="shared" ca="1" si="19"/>
        <v>0</v>
      </c>
      <c r="I81" s="33">
        <f t="shared" ca="1" si="20"/>
        <v>0</v>
      </c>
      <c r="J81" s="42">
        <f t="shared" ca="1" si="21"/>
        <v>0</v>
      </c>
      <c r="K81" s="28"/>
      <c r="L81" s="28"/>
      <c r="M81" s="28"/>
      <c r="N81" s="27"/>
      <c r="P81" s="26"/>
      <c r="Q81" s="25"/>
      <c r="V81" s="18" t="b">
        <f>IF(D03_Number_of_Directors&gt;=9,FALSE,TRUE)</f>
        <v>1</v>
      </c>
    </row>
    <row r="82" spans="2:22" ht="16.899999999999999" hidden="1" customHeight="1">
      <c r="B82" s="31"/>
      <c r="C82" s="32"/>
      <c r="D82" s="39"/>
      <c r="E82" s="39"/>
      <c r="F82" s="39"/>
      <c r="G82" s="33">
        <f t="shared" ca="1" si="18"/>
        <v>0</v>
      </c>
      <c r="H82" s="33">
        <f t="shared" ca="1" si="19"/>
        <v>0</v>
      </c>
      <c r="I82" s="33">
        <f t="shared" ca="1" si="20"/>
        <v>0</v>
      </c>
      <c r="J82" s="42">
        <f t="shared" ca="1" si="21"/>
        <v>0</v>
      </c>
      <c r="K82" s="28"/>
      <c r="L82" s="28"/>
      <c r="M82" s="28"/>
      <c r="N82" s="27"/>
      <c r="P82" s="26"/>
      <c r="Q82" s="25"/>
      <c r="V82" s="18" t="b">
        <f>IF(D03_Number_of_Directors&gt;=10,FALSE,TRUE)</f>
        <v>1</v>
      </c>
    </row>
    <row r="83" spans="2:22" ht="7.5" customHeight="1">
      <c r="B83" s="24"/>
      <c r="C83" s="22"/>
      <c r="D83" s="41"/>
      <c r="E83" s="41"/>
      <c r="F83" s="41"/>
      <c r="G83" s="22"/>
      <c r="H83" s="22"/>
      <c r="I83" s="22"/>
      <c r="J83" s="22"/>
      <c r="K83" s="22"/>
      <c r="L83" s="22"/>
      <c r="M83" s="22"/>
      <c r="N83" s="21"/>
    </row>
    <row r="84" spans="2:22" ht="22.5" customHeight="1">
      <c r="B84" s="28"/>
      <c r="C84" s="40"/>
      <c r="D84" s="39"/>
      <c r="E84" s="39"/>
      <c r="F84" s="39"/>
      <c r="G84" s="39"/>
      <c r="H84" s="39"/>
      <c r="I84" s="39"/>
      <c r="J84" s="39"/>
      <c r="K84" s="39"/>
      <c r="L84" s="39"/>
      <c r="M84" s="39"/>
    </row>
    <row r="85" spans="2:22" ht="22.5" customHeight="1">
      <c r="B85" s="258" t="s">
        <v>92</v>
      </c>
      <c r="C85" s="259"/>
      <c r="D85" s="260"/>
      <c r="G85" s="30"/>
      <c r="H85" s="30"/>
      <c r="I85" s="30"/>
      <c r="J85" s="30"/>
      <c r="K85" s="30"/>
      <c r="L85" s="30"/>
      <c r="M85" s="30"/>
    </row>
    <row r="86" spans="2:22" ht="7.5" customHeight="1">
      <c r="B86" s="38"/>
      <c r="C86" s="37"/>
      <c r="D86" s="30"/>
      <c r="E86" s="36"/>
      <c r="F86" s="36"/>
      <c r="G86" s="35"/>
      <c r="H86" s="35"/>
      <c r="I86" s="35"/>
      <c r="J86" s="35"/>
      <c r="K86" s="35"/>
      <c r="L86" s="35"/>
      <c r="M86" s="35"/>
      <c r="N86" s="34"/>
    </row>
    <row r="87" spans="2:22" ht="17.25" customHeight="1">
      <c r="B87" s="31"/>
      <c r="C87" s="32" t="s">
        <v>91</v>
      </c>
      <c r="D87" s="30"/>
      <c r="E87" s="30"/>
      <c r="F87" s="30"/>
      <c r="G87" s="33">
        <f ca="1">SUMIF(INDEX(INDIRECT("HNSW_Summary!A:Z"), 0, MATCH("TemplateId", INDIRECT("HNSW_Summary!1:1"), 0)), "5843ca72-ff96-4333-a63b-a8c3ea30f161", INDEX(INDIRECT("HNSW_Summary!A:Z"), 0, MATCH("OpBalance", INDIRECT("HNSW_Summary!1:1"), 0)))</f>
        <v>10000</v>
      </c>
      <c r="H87" s="33">
        <f ca="1">SUMIF(INDEX(INDIRECT("HNSW_Summary!A:Z"), 0, MATCH("TemplateId", INDIRECT("HNSW_Summary!1:1"), 0)), "5843ca72-ff96-4333-a63b-a8c3ea30f161", INDEX(INDIRECT("HNSW_Summary!A:Z"), 0, MATCH("Repayments", INDIRECT("HNSW_Summary!1:1"), 0)))</f>
        <v>0</v>
      </c>
      <c r="I87" s="33">
        <f ca="1">SUMIF(INDEX(INDIRECT("HNSW_Summary!A:Z"), 0, MATCH("TemplateId", INDIRECT("HNSW_Summary!1:1"), 0)), "5843ca72-ff96-4333-a63b-a8c3ea30f161", INDEX(INDIRECT("HNSW_Summary!A:Z"), 0, MATCH("Interest", INDIRECT("HNSW_Summary!1:1"), 0)))</f>
        <v>827</v>
      </c>
      <c r="J87" s="33">
        <f ca="1">SUMIF(INDEX(INDIRECT("HNSW_Summary!A:Z"), 0, MATCH("TemplateId", INDIRECT("HNSW_Summary!1:1"), 0)), "5843ca72-ff96-4333-a63b-a8c3ea30f161", INDEX(INDIRECT("HNSW_Summary!A:Z"), 0, MATCH("ClBalance", INDIRECT("HNSW_Summary!1:1"), 0)))</f>
        <v>10827</v>
      </c>
      <c r="K87" s="28"/>
      <c r="L87" s="28"/>
      <c r="M87" s="28"/>
      <c r="N87" s="27"/>
      <c r="P87" s="26"/>
      <c r="Q87" s="25"/>
    </row>
    <row r="88" spans="2:22" ht="17.25" customHeight="1">
      <c r="B88" s="31"/>
      <c r="C88" s="32" t="s">
        <v>90</v>
      </c>
      <c r="D88" s="30"/>
      <c r="E88" s="30"/>
      <c r="F88" s="30"/>
      <c r="G88" s="33">
        <f ca="1">SUMIF(INDEX(INDIRECT("HNSW_Summary!A:Z"), 0, MATCH("TemplateId", INDIRECT("HNSW_Summary!1:1"), 0)), "7668b802-3f9b-4d52-bd4e-592cd4b27494", INDEX(INDIRECT("HNSW_Summary!A:Z"), 0, MATCH("OpBalance", INDIRECT("HNSW_Summary!1:1"), 0)))</f>
        <v>0</v>
      </c>
      <c r="H88" s="33">
        <f ca="1">SUMIF(INDEX(INDIRECT("HNSW_Summary!A:Z"), 0, MATCH("TemplateId", INDIRECT("HNSW_Summary!1:1"), 0)), "7668b802-3f9b-4d52-bd4e-592cd4b27494", INDEX(INDIRECT("HNSW_Summary!A:Z"), 0, MATCH("Repayments", INDIRECT("HNSW_Summary!1:1"), 0)))</f>
        <v>0</v>
      </c>
      <c r="I88" s="33">
        <f ca="1">SUMIF(INDEX(INDIRECT("HNSW_Summary!A:Z"), 0, MATCH("TemplateId", INDIRECT("HNSW_Summary!1:1"), 0)), "7668b802-3f9b-4d52-bd4e-592cd4b27494", INDEX(INDIRECT("HNSW_Summary!A:Z"), 0, MATCH("Interest", INDIRECT("HNSW_Summary!1:1"), 0)))</f>
        <v>0</v>
      </c>
      <c r="J88" s="33">
        <f ca="1">SUMIF(INDEX(INDIRECT("HNSW_Summary!A:Z"), 0, MATCH("TemplateId", INDIRECT("HNSW_Summary!1:1"), 0)), "7668b802-3f9b-4d52-bd4e-592cd4b27494", INDEX(INDIRECT("HNSW_Summary!A:Z"), 0, MATCH("ClBalance", INDIRECT("HNSW_Summary!1:1"), 0)))</f>
        <v>0</v>
      </c>
      <c r="K88" s="28"/>
      <c r="L88" s="28"/>
      <c r="M88" s="28"/>
      <c r="N88" s="27"/>
      <c r="P88" s="26"/>
      <c r="Q88" s="25"/>
    </row>
    <row r="89" spans="2:22" ht="7.5" customHeight="1">
      <c r="B89" s="31"/>
      <c r="C89" s="32"/>
      <c r="D89" s="30"/>
      <c r="E89" s="30"/>
      <c r="F89" s="30"/>
      <c r="K89" s="28"/>
      <c r="L89" s="28"/>
      <c r="M89" s="28"/>
      <c r="N89" s="27"/>
    </row>
    <row r="90" spans="2:22" ht="17.25" customHeight="1">
      <c r="B90" s="31"/>
      <c r="C90" s="20" t="s">
        <v>89</v>
      </c>
      <c r="D90" s="30"/>
      <c r="E90" s="30"/>
      <c r="F90" s="30"/>
      <c r="G90" s="29">
        <f ca="1">SUM(G87:G88)</f>
        <v>10000</v>
      </c>
      <c r="H90" s="29">
        <f ca="1">SUM(H87:H88)</f>
        <v>0</v>
      </c>
      <c r="I90" s="29">
        <f ca="1">SUM(I87:I88)</f>
        <v>827</v>
      </c>
      <c r="J90" s="29">
        <f ca="1">SUM(J87:J88)</f>
        <v>10827</v>
      </c>
      <c r="K90" s="28"/>
      <c r="L90" s="28"/>
      <c r="M90" s="28"/>
      <c r="N90" s="27"/>
      <c r="P90" s="26"/>
      <c r="Q90" s="25"/>
    </row>
    <row r="91" spans="2:22" ht="7.5" customHeight="1">
      <c r="B91" s="24"/>
      <c r="C91" s="22"/>
      <c r="D91" s="23"/>
      <c r="E91" s="23"/>
      <c r="F91" s="23"/>
      <c r="G91" s="22"/>
      <c r="H91" s="22"/>
      <c r="I91" s="22"/>
      <c r="J91" s="22"/>
      <c r="K91" s="22"/>
      <c r="L91" s="22"/>
      <c r="M91" s="22"/>
      <c r="N91" s="21"/>
    </row>
    <row r="92" spans="2:22">
      <c r="C92" s="20"/>
    </row>
  </sheetData>
  <sheetProtection sheet="1" insertHyperlinks="0"/>
  <dataConsolidate/>
  <mergeCells count="8">
    <mergeCell ref="B85:D85"/>
    <mergeCell ref="C8:M8"/>
    <mergeCell ref="C9:M9"/>
    <mergeCell ref="P15:Q15"/>
    <mergeCell ref="L13:M13"/>
    <mergeCell ref="L71:M71"/>
    <mergeCell ref="B11:D11"/>
    <mergeCell ref="B69:D69"/>
  </mergeCells>
  <conditionalFormatting sqref="D17:E66">
    <cfRule type="containsBlanks" dxfId="14" priority="7">
      <formula>LEN(TRIM(D17))=0</formula>
    </cfRule>
    <cfRule type="cellIs" dxfId="13" priority="8" operator="equal">
      <formula>"q"</formula>
    </cfRule>
  </conditionalFormatting>
  <conditionalFormatting sqref="F17:J66">
    <cfRule type="expression" dxfId="12" priority="6">
      <formula>AND($G17&lt;&gt;"AddC",$G17&lt;&gt;"Mode",$G17&lt;&gt;"Add")</formula>
    </cfRule>
  </conditionalFormatting>
  <conditionalFormatting sqref="G73:J82">
    <cfRule type="expression" dxfId="11" priority="4">
      <formula>AND(#REF!&lt;&gt;"AddC",#REF!&lt;&gt;"Mode",#REF!&lt;&gt;"Add")</formula>
    </cfRule>
  </conditionalFormatting>
  <conditionalFormatting sqref="G13:L13">
    <cfRule type="expression" dxfId="10" priority="1">
      <formula>AND(#REF!&lt;&gt;"AddC",#REF!&lt;&gt;"Mode",#REF!&lt;&gt;"Add")</formula>
    </cfRule>
  </conditionalFormatting>
  <conditionalFormatting sqref="G12:M12 G14:M16 K17:K66 G67:M68 H71:I71 K89:M89">
    <cfRule type="expression" dxfId="9" priority="10">
      <formula>AND(#REF!&lt;&gt;"AddC",#REF!&lt;&gt;"Mode",#REF!&lt;&gt;"Add")</formula>
    </cfRule>
  </conditionalFormatting>
  <conditionalFormatting sqref="G70:M70 G72:M72 K73:M82 G83:M1048576">
    <cfRule type="expression" dxfId="8" priority="5">
      <formula>AND(#REF!&lt;&gt;"AddC",#REF!&lt;&gt;"Mode",#REF!&lt;&gt;"Add")</formula>
    </cfRule>
  </conditionalFormatting>
  <conditionalFormatting sqref="H69:M69">
    <cfRule type="expression" dxfId="7" priority="3">
      <formula>AND(#REF!&lt;&gt;"AddC",#REF!&lt;&gt;"Mode",#REF!&lt;&gt;"Add")</formula>
    </cfRule>
  </conditionalFormatting>
  <conditionalFormatting sqref="K71:L71">
    <cfRule type="expression" dxfId="6" priority="2">
      <formula>AND(#REF!&lt;&gt;"AddC",#REF!&lt;&gt;"Mode",#REF!&lt;&gt;"Add")</formula>
    </cfRule>
  </conditionalFormatting>
  <conditionalFormatting sqref="L17:M66">
    <cfRule type="expression" dxfId="5" priority="9">
      <formula>AND($G17&lt;&gt;"AddC",$G17&lt;&gt;"Mode",$G17&lt;&gt;"Add")</formula>
    </cfRule>
  </conditionalFormatting>
  <conditionalFormatting sqref="M12 M14:M16 M67:M70 M72:M1048576">
    <cfRule type="expression" dxfId="4" priority="11">
      <formula>AND(ISNUMBER($M12),$M12&lt;-0.01)</formula>
    </cfRule>
  </conditionalFormatting>
  <hyperlinks>
    <hyperlink ref="L71:M71" location="'D03 Company Debit Loan Summary'!Go_ShowHideRows_01" tooltip="Update Display" display="P  Update Display" xr:uid="{7399A9B3-F1CF-4962-9BB9-CE9691FA403D}"/>
    <hyperlink ref="L13:M13" location="'D03 Company Debit Loan Summary'!Go_ShowHideRows" tooltip="Update Display" display="P  Update Display" xr:uid="{6ADC5E91-2A40-442B-9264-E06C4AFA4C68}"/>
    <hyperlink ref="M3" location="'D03 Company Debit Loan Summary'!Go_Index" tooltip="Go to Record" display="Show Record" xr:uid="{7E91FE9B-1D00-47F2-8DC8-5CBAC6E13B38}"/>
  </hyperlinks>
  <printOptions horizontalCentered="1"/>
  <pageMargins left="0.59055118110236227" right="0.59055118110236227" top="0.59055118110236227" bottom="0.78740157480314965" header="0" footer="0"/>
  <pageSetup paperSize="9" scale="51" fitToHeight="2" orientation="portrait" r:id="rId1"/>
  <headerFooter alignWithMargins="0">
    <oddFooter>&amp;L&amp;F
Copyright © 2003-Present Business Fitness Pty Ltd&amp;R&amp;A &amp;P</oddFooter>
  </headerFooter>
  <customProperties>
    <customPr name="SheetId" r:id="rId2"/>
    <customPr name="SheetName" r:id="rId3"/>
  </customProperties>
  <extLst>
    <ext xmlns:x15="http://schemas.microsoft.com/office/spreadsheetml/2010/11/main" uri="{F7C9EE02-42E1-4005-9D12-6889AFFD525C}">
      <x15:webExtensions xmlns:xm="http://schemas.microsoft.com/office/excel/2006/main">
        <x15:webExtension appRef="{E7C100DE-1E56-44D6-BABC-50A409D231BB}">
          <xm:f>'D03 Company Debit Loan Summary'!D03_Number_of_Directors</xm:f>
        </x15:webExtension>
        <x15:webExtension appRef="{343E1163-F1B5-4A3F-AEE7-B8F4C146F3C5}">
          <xm:f>'D03 Company Debit Loan Summary'!D03_Number_of_Loans</xm:f>
        </x15:webExtension>
        <x15:webExtension appRef="{B0CCF379-2CF3-4C06-8220-E4DFD9593A02}">
          <xm:f>'D03 Company Debit Loan Summary'!Reconcile_Director1LoanBalance</xm:f>
        </x15:webExtension>
        <x15:webExtension appRef="{DC036DEC-4300-49CD-A1BD-4F0AD51309DF}">
          <xm:f>'D03 Company Debit Loan Summary'!Reconcile_Director2LoanBalance</xm:f>
        </x15:webExtension>
        <x15:webExtension appRef="{1E8571C4-C150-400F-926A-98A085AFAE0C}">
          <xm:f>'D03 Company Debit Loan Summary'!Reconcile_Director3LoanBalance</xm:f>
        </x15:webExtension>
        <x15:webExtension appRef="{5D3CCC21-20B5-41E4-B61A-1D4777B0ACF6}">
          <xm:f>'D03 Company Debit Loan Summary'!Reconcile_Div7AClosingBalance</xm:f>
        </x15:webExtension>
        <x15:webExtension appRef="{5B4ECD7E-8EE7-4F3E-9179-79D81360A7DB}">
          <xm:f>'D03 Company Debit Loan Summary'!Reconcile_TotalClosingBalance</xm:f>
        </x15:webExtension>
        <x15:webExtension appRef="{086CC3DF-9E3D-4BD7-9FB7-8FDE8DC6FFB4}">
          <xm:f>'D03 Company Debit Loan Summary'!Reconcile_UPEClosingBalance</xm:f>
        </x15:webExtension>
      </x15:webExtens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7159B-32E1-4EDC-BE81-236C047D1C25}">
  <sheetPr>
    <pageSetUpPr fitToPage="1"/>
  </sheetPr>
  <dimension ref="B1:N54"/>
  <sheetViews>
    <sheetView showGridLines="0" topLeftCell="A9" zoomScaleNormal="85" workbookViewId="0">
      <selection activeCell="J17" sqref="J17"/>
    </sheetView>
  </sheetViews>
  <sheetFormatPr defaultRowHeight="15"/>
  <cols>
    <col min="1" max="1" width="4.28515625" style="77" customWidth="1"/>
    <col min="2" max="2" width="1.42578125" style="77" customWidth="1"/>
    <col min="3" max="3" width="5.42578125" style="77" customWidth="1"/>
    <col min="4" max="4" width="8.7109375" style="77" customWidth="1"/>
    <col min="5" max="5" width="15.7109375" style="77" customWidth="1"/>
    <col min="6" max="6" width="19.7109375" style="77" customWidth="1"/>
    <col min="7" max="10" width="15.7109375" style="77" customWidth="1"/>
    <col min="11" max="11" width="1.42578125" style="77" customWidth="1"/>
    <col min="12" max="12" width="4.28515625" style="77" customWidth="1"/>
    <col min="13" max="13" width="15.7109375" style="77" customWidth="1"/>
    <col min="14" max="14" width="15.7109375" style="142" customWidth="1"/>
    <col min="15" max="16384" width="9.140625" style="77"/>
  </cols>
  <sheetData>
    <row r="1" spans="2:14" hidden="1">
      <c r="C1" s="216" t="s">
        <v>115</v>
      </c>
      <c r="D1" s="77" t="s">
        <v>244</v>
      </c>
      <c r="G1" s="215" t="s">
        <v>110</v>
      </c>
      <c r="H1" s="77" t="s">
        <v>243</v>
      </c>
      <c r="I1" s="214" t="s">
        <v>113</v>
      </c>
      <c r="J1" s="77" t="str" cm="1">
        <f t="array" ref="J1">IFERROR(Tm_Jurisdiction,"AU")</f>
        <v>AU</v>
      </c>
    </row>
    <row r="2" spans="2:14" ht="9" customHeight="1">
      <c r="C2" s="177"/>
      <c r="D2" s="177"/>
      <c r="E2" s="177"/>
    </row>
    <row r="3" spans="2:14" ht="24.95" customHeight="1">
      <c r="B3" s="177"/>
      <c r="C3" s="76" t="s">
        <v>242</v>
      </c>
      <c r="D3" s="177"/>
      <c r="E3" s="177"/>
      <c r="I3"/>
      <c r="J3" s="217" t="s">
        <v>116</v>
      </c>
    </row>
    <row r="4" spans="2:14" ht="22.5" customHeight="1">
      <c r="C4" s="213" t="str">
        <f>_xlfn.TEXTJOIN(" ",1,IFERROR(_xlfn.SINGLE(Cl_Name),"Client Name"),IF(IFERROR(_xlfn.SINGLE(Cl_Code),"")="","","("&amp;_xlfn.SINGLE(Cl_Code)&amp;")"))</f>
        <v>Springrange Holdings Pty Ltd (MuM001)</v>
      </c>
    </row>
    <row r="5" spans="2:14" ht="22.5" customHeight="1">
      <c r="C5" s="269">
        <f>IFERROR(_xlfn.SINGLE(PeriodEndDate),DATE(1901,1,1))</f>
        <v>45473</v>
      </c>
      <c r="D5" s="269"/>
      <c r="E5" s="269"/>
      <c r="F5" s="269"/>
      <c r="G5" s="269"/>
    </row>
    <row r="6" spans="2:14" ht="7.5" customHeight="1">
      <c r="B6" s="71"/>
      <c r="C6" s="71"/>
      <c r="D6" s="71"/>
      <c r="E6" s="71"/>
      <c r="F6" s="174"/>
      <c r="G6" s="174"/>
      <c r="H6" s="174"/>
      <c r="I6" s="174"/>
      <c r="J6" s="174"/>
      <c r="K6" s="174"/>
    </row>
    <row r="7" spans="2:14" ht="7.5" customHeight="1"/>
    <row r="8" spans="2:14" ht="30" customHeight="1">
      <c r="C8" s="270" t="s">
        <v>241</v>
      </c>
      <c r="D8" s="270"/>
      <c r="E8" s="270"/>
      <c r="F8" s="270"/>
      <c r="G8" s="270"/>
      <c r="H8" s="270"/>
      <c r="I8" s="270"/>
      <c r="J8" s="270"/>
    </row>
    <row r="9" spans="2:14" ht="30" customHeight="1">
      <c r="C9" s="271" t="s">
        <v>240</v>
      </c>
      <c r="D9" s="271"/>
      <c r="E9" s="271"/>
      <c r="F9" s="271"/>
      <c r="G9" s="271"/>
      <c r="H9" s="271"/>
      <c r="I9" s="271"/>
      <c r="J9" s="271"/>
    </row>
    <row r="10" spans="2:14" ht="17.25" customHeight="1">
      <c r="C10" s="272" t="s">
        <v>239</v>
      </c>
      <c r="D10" s="272"/>
      <c r="E10" s="272"/>
      <c r="F10" s="272"/>
      <c r="G10" s="272"/>
      <c r="H10" s="272"/>
      <c r="I10" s="272"/>
      <c r="J10" s="272"/>
    </row>
    <row r="11" spans="2:14" ht="22.5" customHeight="1"/>
    <row r="12" spans="2:14" ht="22.5" customHeight="1">
      <c r="B12" s="266" t="s">
        <v>238</v>
      </c>
      <c r="C12" s="266"/>
      <c r="D12" s="266"/>
      <c r="E12" s="266"/>
      <c r="F12" s="266"/>
      <c r="M12" s="229" t="s">
        <v>97</v>
      </c>
      <c r="N12" s="230"/>
    </row>
    <row r="13" spans="2:14" ht="7.5" customHeight="1">
      <c r="B13" s="207"/>
      <c r="C13" s="206"/>
      <c r="D13" s="206"/>
      <c r="E13" s="206"/>
      <c r="F13" s="206"/>
      <c r="G13" s="206"/>
      <c r="H13" s="206"/>
      <c r="I13" s="206"/>
      <c r="J13" s="206"/>
      <c r="K13" s="205"/>
    </row>
    <row r="14" spans="2:14" ht="22.5" customHeight="1">
      <c r="B14" s="198"/>
      <c r="I14" s="110" t="s">
        <v>237</v>
      </c>
      <c r="J14" s="108" t="s">
        <v>236</v>
      </c>
      <c r="K14" s="99"/>
    </row>
    <row r="15" spans="2:14" ht="7.5" customHeight="1">
      <c r="B15" s="198"/>
      <c r="I15" s="211"/>
      <c r="K15" s="99"/>
    </row>
    <row r="16" spans="2:14" ht="17.25" customHeight="1">
      <c r="B16" s="198"/>
      <c r="C16" s="212"/>
      <c r="D16" s="267" t="s">
        <v>229</v>
      </c>
      <c r="E16" s="267"/>
      <c r="F16" s="267"/>
      <c r="G16" s="267"/>
      <c r="I16" s="211" t="s">
        <v>230</v>
      </c>
      <c r="J16" s="152">
        <v>878940</v>
      </c>
      <c r="K16" s="210"/>
      <c r="M16" s="26"/>
      <c r="N16" s="209"/>
    </row>
    <row r="17" spans="2:14" ht="17.25" customHeight="1">
      <c r="B17" s="198"/>
      <c r="C17" s="202"/>
      <c r="D17" s="267" t="s">
        <v>219</v>
      </c>
      <c r="E17" s="267"/>
      <c r="F17" s="267"/>
      <c r="G17" s="267"/>
      <c r="I17" s="211" t="s">
        <v>220</v>
      </c>
      <c r="J17" s="152">
        <v>67000</v>
      </c>
      <c r="K17" s="210"/>
      <c r="M17" s="26"/>
      <c r="N17" s="209"/>
    </row>
    <row r="18" spans="2:14" ht="17.25" customHeight="1">
      <c r="B18" s="198"/>
      <c r="D18" s="267" t="s">
        <v>235</v>
      </c>
      <c r="E18" s="267"/>
      <c r="F18" s="267"/>
      <c r="G18" s="267"/>
      <c r="I18" s="211" t="s">
        <v>217</v>
      </c>
      <c r="J18" s="152"/>
      <c r="K18" s="210"/>
      <c r="M18" s="26"/>
      <c r="N18" s="209"/>
    </row>
    <row r="19" spans="2:14" ht="17.25" customHeight="1">
      <c r="B19" s="198"/>
      <c r="D19" s="267" t="s">
        <v>234</v>
      </c>
      <c r="E19" s="267"/>
      <c r="F19" s="267"/>
      <c r="G19" s="267"/>
      <c r="I19" s="211" t="s">
        <v>209</v>
      </c>
      <c r="J19" s="152">
        <v>500000</v>
      </c>
      <c r="K19" s="210"/>
      <c r="M19" s="26"/>
      <c r="N19" s="209"/>
    </row>
    <row r="20" spans="2:14" ht="17.25" customHeight="1">
      <c r="B20" s="198"/>
      <c r="D20" s="267" t="s">
        <v>233</v>
      </c>
      <c r="E20" s="267"/>
      <c r="F20" s="267"/>
      <c r="G20" s="267"/>
      <c r="I20" s="211" t="s">
        <v>206</v>
      </c>
      <c r="J20" s="152"/>
      <c r="K20" s="210"/>
      <c r="M20" s="26"/>
      <c r="N20" s="209"/>
    </row>
    <row r="21" spans="2:14" ht="7.5" customHeight="1">
      <c r="B21" s="198"/>
      <c r="D21" s="201"/>
      <c r="E21" s="201"/>
      <c r="F21" s="201"/>
      <c r="G21" s="201"/>
      <c r="I21" s="211"/>
      <c r="K21" s="210"/>
    </row>
    <row r="22" spans="2:14" ht="17.25" customHeight="1">
      <c r="B22" s="198"/>
      <c r="D22" s="267" t="s">
        <v>232</v>
      </c>
      <c r="E22" s="267"/>
      <c r="F22" s="267"/>
      <c r="G22" s="267"/>
      <c r="I22" s="201"/>
      <c r="J22" s="29">
        <f>+J16+J17-J18-J19-J20</f>
        <v>445940</v>
      </c>
      <c r="K22" s="210"/>
      <c r="M22" s="26"/>
      <c r="N22" s="209"/>
    </row>
    <row r="23" spans="2:14" ht="7.5" customHeight="1">
      <c r="B23" s="196"/>
      <c r="C23" s="174"/>
      <c r="D23" s="208"/>
      <c r="E23" s="208"/>
      <c r="F23" s="208"/>
      <c r="G23" s="208"/>
      <c r="H23" s="208"/>
      <c r="I23" s="174"/>
      <c r="J23" s="174"/>
      <c r="K23" s="192"/>
    </row>
    <row r="24" spans="2:14" ht="22.5" customHeight="1">
      <c r="D24" s="201"/>
      <c r="E24" s="201"/>
      <c r="F24" s="201"/>
      <c r="G24" s="201"/>
      <c r="H24" s="201"/>
    </row>
    <row r="25" spans="2:14" ht="22.5" customHeight="1">
      <c r="B25" s="266" t="s">
        <v>231</v>
      </c>
      <c r="C25" s="266"/>
      <c r="D25" s="266"/>
      <c r="E25" s="266"/>
      <c r="F25" s="266"/>
    </row>
    <row r="26" spans="2:14" ht="7.5" customHeight="1">
      <c r="B26" s="207"/>
      <c r="C26" s="206"/>
      <c r="D26" s="206"/>
      <c r="E26" s="206"/>
      <c r="F26" s="206"/>
      <c r="G26" s="206"/>
      <c r="H26" s="206"/>
      <c r="I26" s="206"/>
      <c r="J26" s="206"/>
      <c r="K26" s="205"/>
    </row>
    <row r="27" spans="2:14" ht="17.25" customHeight="1">
      <c r="B27" s="198"/>
      <c r="C27" s="201" t="s">
        <v>230</v>
      </c>
      <c r="D27" s="267" t="s">
        <v>229</v>
      </c>
      <c r="E27" s="267"/>
      <c r="F27" s="267"/>
      <c r="K27" s="99"/>
    </row>
    <row r="28" spans="2:14" ht="30" customHeight="1">
      <c r="B28" s="198"/>
      <c r="C28" s="268" t="s">
        <v>228</v>
      </c>
      <c r="D28" s="268"/>
      <c r="E28" s="268"/>
      <c r="F28" s="268"/>
      <c r="G28" s="268"/>
      <c r="H28" s="268"/>
      <c r="I28" s="268"/>
      <c r="J28" s="268"/>
      <c r="K28" s="99"/>
    </row>
    <row r="29" spans="2:14" ht="17.25" customHeight="1">
      <c r="B29" s="198"/>
      <c r="C29" s="199" t="s">
        <v>203</v>
      </c>
      <c r="D29" s="268" t="s">
        <v>227</v>
      </c>
      <c r="E29" s="268"/>
      <c r="F29" s="268"/>
      <c r="G29" s="268"/>
      <c r="H29" s="273"/>
      <c r="I29" s="273"/>
      <c r="J29" s="273"/>
      <c r="K29" s="99"/>
    </row>
    <row r="30" spans="2:14" ht="17.25" customHeight="1">
      <c r="B30" s="198"/>
      <c r="C30" s="199" t="s">
        <v>201</v>
      </c>
      <c r="D30" s="268" t="s">
        <v>226</v>
      </c>
      <c r="E30" s="268"/>
      <c r="F30" s="268"/>
      <c r="G30" s="268"/>
      <c r="H30" s="273"/>
      <c r="I30" s="273"/>
      <c r="J30" s="273"/>
      <c r="K30" s="99"/>
    </row>
    <row r="31" spans="2:14" ht="17.25" customHeight="1">
      <c r="B31" s="198"/>
      <c r="C31" s="199"/>
      <c r="D31" s="268" t="s">
        <v>225</v>
      </c>
      <c r="E31" s="268"/>
      <c r="F31" s="268"/>
      <c r="G31" s="268"/>
      <c r="H31" s="273"/>
      <c r="I31" s="273"/>
      <c r="J31" s="273"/>
      <c r="K31" s="99"/>
    </row>
    <row r="32" spans="2:14" ht="17.25" customHeight="1">
      <c r="B32" s="198"/>
      <c r="C32" s="199"/>
      <c r="D32" s="268" t="s">
        <v>224</v>
      </c>
      <c r="E32" s="268"/>
      <c r="F32" s="268"/>
      <c r="G32" s="268"/>
      <c r="H32" s="273"/>
      <c r="I32" s="273"/>
      <c r="J32" s="273"/>
      <c r="K32" s="99"/>
    </row>
    <row r="33" spans="2:11" ht="17.25" customHeight="1">
      <c r="B33" s="198"/>
      <c r="C33" s="199"/>
      <c r="D33" s="268" t="s">
        <v>223</v>
      </c>
      <c r="E33" s="268"/>
      <c r="F33" s="268"/>
      <c r="G33" s="268"/>
      <c r="H33" s="273"/>
      <c r="I33" s="273"/>
      <c r="J33" s="273"/>
      <c r="K33" s="99"/>
    </row>
    <row r="34" spans="2:11" ht="17.25" customHeight="1">
      <c r="B34" s="198"/>
      <c r="C34" s="199"/>
      <c r="D34" s="268" t="s">
        <v>222</v>
      </c>
      <c r="E34" s="268"/>
      <c r="F34" s="268"/>
      <c r="G34" s="268"/>
      <c r="H34" s="273"/>
      <c r="I34" s="273"/>
      <c r="J34" s="273"/>
      <c r="K34" s="99"/>
    </row>
    <row r="35" spans="2:11" ht="30" customHeight="1">
      <c r="B35" s="198"/>
      <c r="C35" s="268" t="s">
        <v>221</v>
      </c>
      <c r="D35" s="268"/>
      <c r="E35" s="268"/>
      <c r="F35" s="268"/>
      <c r="G35" s="268"/>
      <c r="H35" s="268"/>
      <c r="I35" s="268"/>
      <c r="J35" s="268"/>
      <c r="K35" s="99"/>
    </row>
    <row r="36" spans="2:11" ht="17.25" customHeight="1">
      <c r="B36" s="198"/>
      <c r="C36" s="201" t="s">
        <v>220</v>
      </c>
      <c r="D36" s="267" t="s">
        <v>219</v>
      </c>
      <c r="E36" s="267"/>
      <c r="F36" s="267"/>
      <c r="K36" s="99"/>
    </row>
    <row r="37" spans="2:11" ht="30" customHeight="1">
      <c r="B37" s="198"/>
      <c r="C37" s="268" t="s">
        <v>218</v>
      </c>
      <c r="D37" s="268"/>
      <c r="E37" s="268"/>
      <c r="F37" s="268"/>
      <c r="G37" s="268"/>
      <c r="H37" s="268"/>
      <c r="I37" s="268"/>
      <c r="J37" s="268"/>
      <c r="K37" s="99"/>
    </row>
    <row r="38" spans="2:11" s="202" customFormat="1" ht="17.25" customHeight="1">
      <c r="B38" s="204"/>
      <c r="C38" s="201" t="s">
        <v>217</v>
      </c>
      <c r="D38" s="267" t="s">
        <v>216</v>
      </c>
      <c r="E38" s="267"/>
      <c r="F38" s="267"/>
      <c r="K38" s="203"/>
    </row>
    <row r="39" spans="2:11" s="202" customFormat="1" ht="15" customHeight="1">
      <c r="B39" s="204"/>
      <c r="C39" s="268" t="s">
        <v>215</v>
      </c>
      <c r="D39" s="268"/>
      <c r="E39" s="268"/>
      <c r="F39" s="268"/>
      <c r="G39" s="268"/>
      <c r="H39" s="268"/>
      <c r="I39" s="268"/>
      <c r="J39" s="268"/>
      <c r="K39" s="203"/>
    </row>
    <row r="40" spans="2:11" s="202" customFormat="1" ht="15" customHeight="1">
      <c r="B40" s="204"/>
      <c r="C40" s="199" t="s">
        <v>203</v>
      </c>
      <c r="D40" s="268" t="s">
        <v>214</v>
      </c>
      <c r="E40" s="268"/>
      <c r="F40" s="268"/>
      <c r="G40" s="268"/>
      <c r="H40" s="268"/>
      <c r="I40" s="268"/>
      <c r="J40" s="268"/>
      <c r="K40" s="203"/>
    </row>
    <row r="41" spans="2:11" ht="17.25" customHeight="1">
      <c r="B41" s="198"/>
      <c r="C41" s="197"/>
      <c r="D41" s="274" t="s">
        <v>213</v>
      </c>
      <c r="E41" s="274"/>
      <c r="F41" s="274"/>
      <c r="G41" s="274"/>
      <c r="H41" s="274"/>
      <c r="I41" s="274"/>
      <c r="J41" s="274"/>
      <c r="K41" s="99"/>
    </row>
    <row r="42" spans="2:11" ht="17.25" customHeight="1">
      <c r="B42" s="198"/>
      <c r="C42" s="197"/>
      <c r="D42" s="274" t="s">
        <v>212</v>
      </c>
      <c r="E42" s="274"/>
      <c r="F42" s="274"/>
      <c r="G42" s="274"/>
      <c r="H42" s="274"/>
      <c r="I42" s="274"/>
      <c r="J42" s="274"/>
      <c r="K42" s="99"/>
    </row>
    <row r="43" spans="2:11" ht="30" customHeight="1">
      <c r="B43" s="198"/>
      <c r="C43" s="197" t="s">
        <v>201</v>
      </c>
      <c r="D43" s="268" t="s">
        <v>211</v>
      </c>
      <c r="E43" s="268"/>
      <c r="F43" s="268"/>
      <c r="G43" s="268"/>
      <c r="H43" s="273"/>
      <c r="I43" s="273"/>
      <c r="J43" s="273"/>
      <c r="K43" s="99"/>
    </row>
    <row r="44" spans="2:11" ht="17.25" customHeight="1">
      <c r="B44" s="198"/>
      <c r="C44" s="268" t="s">
        <v>210</v>
      </c>
      <c r="D44" s="268"/>
      <c r="E44" s="268"/>
      <c r="F44" s="268"/>
      <c r="G44" s="268"/>
      <c r="H44" s="268"/>
      <c r="I44" s="268"/>
      <c r="J44" s="268"/>
      <c r="K44" s="99"/>
    </row>
    <row r="45" spans="2:11" ht="17.25" customHeight="1">
      <c r="B45" s="198"/>
      <c r="C45" s="201" t="s">
        <v>209</v>
      </c>
      <c r="D45" s="267" t="s">
        <v>208</v>
      </c>
      <c r="E45" s="267"/>
      <c r="F45" s="267"/>
      <c r="K45" s="99"/>
    </row>
    <row r="46" spans="2:11" ht="17.25" customHeight="1">
      <c r="B46" s="198"/>
      <c r="C46" s="268" t="s">
        <v>207</v>
      </c>
      <c r="D46" s="268"/>
      <c r="E46" s="268"/>
      <c r="F46" s="268"/>
      <c r="G46" s="268"/>
      <c r="H46" s="268"/>
      <c r="I46" s="268"/>
      <c r="J46" s="268"/>
      <c r="K46" s="99"/>
    </row>
    <row r="47" spans="2:11" ht="17.25" customHeight="1">
      <c r="B47" s="198"/>
      <c r="C47" s="201" t="s">
        <v>206</v>
      </c>
      <c r="D47" s="267" t="s">
        <v>205</v>
      </c>
      <c r="E47" s="267"/>
      <c r="F47" s="267"/>
      <c r="G47" s="200"/>
      <c r="H47" s="200"/>
      <c r="K47" s="99"/>
    </row>
    <row r="48" spans="2:11" ht="17.25" customHeight="1">
      <c r="B48" s="198"/>
      <c r="C48" s="268" t="s">
        <v>204</v>
      </c>
      <c r="D48" s="268"/>
      <c r="E48" s="268"/>
      <c r="F48" s="268"/>
      <c r="G48" s="268"/>
      <c r="H48" s="268"/>
      <c r="I48" s="268"/>
      <c r="J48" s="268"/>
      <c r="K48" s="99"/>
    </row>
    <row r="49" spans="2:11" ht="30" customHeight="1">
      <c r="B49" s="198"/>
      <c r="C49" s="199" t="s">
        <v>203</v>
      </c>
      <c r="D49" s="268" t="s">
        <v>202</v>
      </c>
      <c r="E49" s="268"/>
      <c r="F49" s="268"/>
      <c r="G49" s="268"/>
      <c r="H49" s="268"/>
      <c r="I49" s="268"/>
      <c r="J49" s="268"/>
      <c r="K49" s="99"/>
    </row>
    <row r="50" spans="2:11" ht="30" customHeight="1">
      <c r="B50" s="198"/>
      <c r="C50" s="197" t="s">
        <v>201</v>
      </c>
      <c r="D50" s="274" t="s">
        <v>200</v>
      </c>
      <c r="E50" s="274"/>
      <c r="F50" s="274"/>
      <c r="G50" s="274"/>
      <c r="H50" s="274"/>
      <c r="I50" s="274"/>
      <c r="J50" s="274"/>
      <c r="K50" s="99"/>
    </row>
    <row r="51" spans="2:11" ht="30" customHeight="1">
      <c r="B51" s="198"/>
      <c r="C51" s="197"/>
      <c r="D51" s="274" t="s">
        <v>199</v>
      </c>
      <c r="E51" s="274"/>
      <c r="F51" s="274"/>
      <c r="G51" s="274"/>
      <c r="H51" s="274"/>
      <c r="I51" s="274"/>
      <c r="J51" s="274"/>
      <c r="K51" s="99"/>
    </row>
    <row r="52" spans="2:11" ht="17.25" customHeight="1">
      <c r="B52" s="198"/>
      <c r="C52" s="197"/>
      <c r="D52" s="274" t="s">
        <v>198</v>
      </c>
      <c r="E52" s="274"/>
      <c r="F52" s="274"/>
      <c r="G52" s="274"/>
      <c r="H52" s="274"/>
      <c r="I52" s="274"/>
      <c r="J52" s="274"/>
      <c r="K52" s="99"/>
    </row>
    <row r="53" spans="2:11" ht="7.5" customHeight="1">
      <c r="B53" s="196"/>
      <c r="C53" s="195"/>
      <c r="D53" s="194"/>
      <c r="E53" s="194"/>
      <c r="F53" s="193"/>
      <c r="G53" s="174"/>
      <c r="H53" s="174"/>
      <c r="I53" s="174"/>
      <c r="J53" s="174"/>
      <c r="K53" s="192"/>
    </row>
    <row r="54" spans="2:11">
      <c r="C54" s="191"/>
    </row>
  </sheetData>
  <sheetProtection formatCells="0" formatColumns="0" formatRows="0" insertColumns="0" insertRows="0" insertHyperlinks="0"/>
  <mergeCells count="39">
    <mergeCell ref="C35:J35"/>
    <mergeCell ref="D31:J31"/>
    <mergeCell ref="M12:N12"/>
    <mergeCell ref="D52:J52"/>
    <mergeCell ref="C48:J48"/>
    <mergeCell ref="D51:J51"/>
    <mergeCell ref="D34:J34"/>
    <mergeCell ref="D40:J40"/>
    <mergeCell ref="D43:J43"/>
    <mergeCell ref="D49:J49"/>
    <mergeCell ref="D27:F27"/>
    <mergeCell ref="C28:J28"/>
    <mergeCell ref="D50:J50"/>
    <mergeCell ref="D47:F47"/>
    <mergeCell ref="C46:J46"/>
    <mergeCell ref="C37:J37"/>
    <mergeCell ref="D45:F45"/>
    <mergeCell ref="C44:J44"/>
    <mergeCell ref="C5:G5"/>
    <mergeCell ref="D19:G19"/>
    <mergeCell ref="D20:G20"/>
    <mergeCell ref="C8:J8"/>
    <mergeCell ref="C9:J9"/>
    <mergeCell ref="C10:J10"/>
    <mergeCell ref="D32:J32"/>
    <mergeCell ref="D33:J33"/>
    <mergeCell ref="D38:F38"/>
    <mergeCell ref="C39:J39"/>
    <mergeCell ref="D41:J41"/>
    <mergeCell ref="D42:J42"/>
    <mergeCell ref="D29:J29"/>
    <mergeCell ref="D30:J30"/>
    <mergeCell ref="D36:F36"/>
    <mergeCell ref="B12:F12"/>
    <mergeCell ref="B25:F25"/>
    <mergeCell ref="D18:G18"/>
    <mergeCell ref="D22:G22"/>
    <mergeCell ref="D16:G16"/>
    <mergeCell ref="D17:G17"/>
  </mergeCells>
  <hyperlinks>
    <hyperlink ref="J3" location="'D06 Distributable Surplus'!Go_Index" tooltip="Go to Record" display="Show Record" xr:uid="{1DDABA9A-601E-42AB-A3DD-64AFB1E2D031}"/>
    <hyperlink ref="C10:J10" r:id="rId1" tooltip="Go to ATO website" display="Refer to  ATO - Division 7A - Distributable Surplus" xr:uid="{99B23AF0-989F-4175-ACAF-13124C659C1F}"/>
  </hyperlinks>
  <pageMargins left="0.74803149606299213" right="0.74803149606299213" top="0.98425196850393704" bottom="0.98425196850393704" header="0.51181102362204722" footer="0.51181102362204722"/>
  <pageSetup paperSize="9" scale="74" orientation="portrait" horizontalDpi="300" verticalDpi="300" r:id="rId2"/>
  <headerFooter alignWithMargins="0">
    <oddFooter>&amp;L&amp;F
Copyright(c) 2005-Present Business Fitness Pty Ltd&amp;R&amp;A  Page   &amp;"Arial,Regular"&amp;P</oddFooter>
  </headerFooter>
  <customProperties>
    <customPr name="SheetId" r:id="rId3"/>
    <customPr name="SheetName" r:id="rId4"/>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50EF92-7D1C-46D9-B55A-859D12D8ADD6}">
  <dimension ref="A1:O29"/>
  <sheetViews>
    <sheetView showGridLines="0" workbookViewId="0">
      <pane ySplit="2" topLeftCell="A3" activePane="bottomLeft" state="frozen"/>
      <selection pane="bottomLeft"/>
    </sheetView>
  </sheetViews>
  <sheetFormatPr defaultRowHeight="15"/>
  <cols>
    <col min="1" max="1" width="2.85546875" customWidth="1"/>
    <col min="2" max="2" width="1.42578125" customWidth="1"/>
    <col min="3" max="3" width="37.42578125" hidden="1" customWidth="1"/>
    <col min="4" max="4" width="9.7109375" hidden="1" customWidth="1"/>
    <col min="5" max="5" width="43.28515625" bestFit="1" customWidth="1"/>
    <col min="6" max="6" width="6.28515625" bestFit="1" customWidth="1"/>
    <col min="7" max="7" width="7.85546875" bestFit="1" customWidth="1"/>
    <col min="8" max="8" width="6" bestFit="1" customWidth="1"/>
    <col min="9" max="9" width="11.140625" bestFit="1" customWidth="1"/>
    <col min="10" max="10" width="36.140625" bestFit="1" customWidth="1"/>
    <col min="11" max="11" width="17.42578125" bestFit="1" customWidth="1"/>
    <col min="12" max="12" width="8.7109375" bestFit="1" customWidth="1"/>
    <col min="13" max="13" width="1.42578125" customWidth="1"/>
    <col min="15" max="15" width="9.7109375" bestFit="1" customWidth="1"/>
  </cols>
  <sheetData>
    <row r="1" spans="1:15" hidden="1">
      <c r="A1" t="s">
        <v>5</v>
      </c>
      <c r="B1" t="s">
        <v>6</v>
      </c>
      <c r="C1" t="s">
        <v>7</v>
      </c>
      <c r="D1" t="s">
        <v>8</v>
      </c>
      <c r="E1" t="s">
        <v>9</v>
      </c>
      <c r="F1" t="s">
        <v>10</v>
      </c>
      <c r="G1" t="s">
        <v>11</v>
      </c>
      <c r="H1" t="s">
        <v>12</v>
      </c>
      <c r="I1" t="s">
        <v>13</v>
      </c>
      <c r="J1" t="s">
        <v>14</v>
      </c>
      <c r="K1" t="s">
        <v>15</v>
      </c>
      <c r="L1" t="s">
        <v>16</v>
      </c>
      <c r="M1" t="s">
        <v>17</v>
      </c>
      <c r="O1" t="s">
        <v>18</v>
      </c>
    </row>
    <row r="2" spans="1:15" ht="30" customHeight="1">
      <c r="A2" s="2"/>
      <c r="B2" s="2"/>
      <c r="C2" s="2" t="s">
        <v>19</v>
      </c>
      <c r="D2" s="2"/>
      <c r="E2" s="2" t="s">
        <v>20</v>
      </c>
      <c r="F2" s="2" t="s">
        <v>10</v>
      </c>
      <c r="G2" s="2" t="s">
        <v>21</v>
      </c>
      <c r="H2" s="2"/>
      <c r="I2" s="2" t="s">
        <v>13</v>
      </c>
      <c r="J2" s="2" t="s">
        <v>22</v>
      </c>
      <c r="K2" s="2"/>
      <c r="L2" s="2"/>
      <c r="M2" s="2"/>
      <c r="N2" s="2"/>
      <c r="O2" s="2" t="s">
        <v>18</v>
      </c>
    </row>
    <row r="4" spans="1:15">
      <c r="B4" s="3"/>
      <c r="C4" s="3" t="s">
        <v>120</v>
      </c>
      <c r="D4" s="3"/>
      <c r="E4" s="3" t="s">
        <v>121</v>
      </c>
    </row>
    <row r="5" spans="1:15" ht="7.5" customHeight="1">
      <c r="B5" s="7"/>
      <c r="C5" s="4"/>
      <c r="D5" s="4"/>
      <c r="E5" s="4"/>
      <c r="F5" s="4"/>
      <c r="G5" s="4"/>
      <c r="H5" s="4"/>
      <c r="I5" s="4"/>
      <c r="J5" s="4"/>
      <c r="K5" s="4"/>
      <c r="L5" s="4"/>
      <c r="M5" s="5"/>
    </row>
    <row r="6" spans="1:15" ht="7.5" customHeight="1">
      <c r="B6" s="82"/>
      <c r="C6" s="83"/>
      <c r="D6" s="83"/>
      <c r="E6" s="83"/>
      <c r="F6" s="83"/>
      <c r="G6" s="83"/>
      <c r="H6" s="83"/>
      <c r="I6" s="83"/>
      <c r="J6" s="83"/>
      <c r="K6" s="83"/>
      <c r="L6" s="83"/>
      <c r="M6" s="84"/>
    </row>
    <row r="7" spans="1:15" ht="14.25" customHeight="1"/>
    <row r="8" spans="1:15" ht="14.25" customHeight="1">
      <c r="B8" s="3"/>
      <c r="C8" s="3" t="s">
        <v>122</v>
      </c>
      <c r="D8" s="3"/>
      <c r="E8" s="3" t="s">
        <v>123</v>
      </c>
    </row>
    <row r="9" spans="1:15" ht="7.5" customHeight="1">
      <c r="B9" s="7"/>
      <c r="C9" s="4"/>
      <c r="D9" s="4"/>
      <c r="E9" s="4"/>
      <c r="F9" s="4"/>
      <c r="G9" s="4"/>
      <c r="H9" s="4"/>
      <c r="I9" s="4"/>
      <c r="J9" s="4"/>
      <c r="K9" s="4"/>
      <c r="L9" s="4"/>
      <c r="M9" s="5"/>
    </row>
    <row r="10" spans="1:15" ht="7.5" customHeight="1">
      <c r="B10" s="9"/>
      <c r="C10" s="10"/>
      <c r="D10" s="10"/>
      <c r="E10" s="10"/>
      <c r="F10" s="10"/>
      <c r="G10" s="10"/>
      <c r="H10" s="10"/>
      <c r="I10" s="10"/>
      <c r="J10" s="10"/>
      <c r="K10" s="10"/>
      <c r="L10" s="10"/>
      <c r="M10" s="11"/>
    </row>
    <row r="11" spans="1:15" ht="14.25" customHeight="1"/>
    <row r="12" spans="1:15" ht="14.25" customHeight="1">
      <c r="B12" s="3"/>
      <c r="C12" s="3" t="s">
        <v>124</v>
      </c>
      <c r="D12" s="3"/>
      <c r="E12" s="3" t="s">
        <v>125</v>
      </c>
    </row>
    <row r="13" spans="1:15" ht="7.5" customHeight="1">
      <c r="B13" s="7"/>
      <c r="C13" s="4"/>
      <c r="D13" s="4"/>
      <c r="E13" s="4"/>
      <c r="F13" s="4"/>
      <c r="G13" s="4"/>
      <c r="H13" s="4"/>
      <c r="I13" s="4"/>
      <c r="J13" s="4"/>
      <c r="K13" s="4"/>
      <c r="L13" s="4"/>
      <c r="M13" s="5"/>
    </row>
    <row r="14" spans="1:15" ht="14.25" customHeight="1">
      <c r="B14" s="8"/>
      <c r="C14" s="87" t="s">
        <v>126</v>
      </c>
      <c r="D14" s="87">
        <v>1</v>
      </c>
      <c r="E14" s="86" t="s">
        <v>111</v>
      </c>
      <c r="F14" s="85"/>
      <c r="G14" s="85"/>
      <c r="H14" s="85"/>
      <c r="I14" s="85" t="s">
        <v>127</v>
      </c>
      <c r="J14" s="85" t="s">
        <v>128</v>
      </c>
      <c r="K14" s="85"/>
      <c r="L14" s="85"/>
      <c r="M14" s="6"/>
    </row>
    <row r="15" spans="1:15" ht="7.5" customHeight="1">
      <c r="B15" s="9"/>
      <c r="C15" s="10"/>
      <c r="D15" s="10"/>
      <c r="E15" s="10"/>
      <c r="F15" s="10"/>
      <c r="G15" s="10"/>
      <c r="H15" s="10"/>
      <c r="I15" s="10"/>
      <c r="J15" s="10"/>
      <c r="K15" s="10"/>
      <c r="L15" s="10"/>
      <c r="M15" s="11"/>
    </row>
    <row r="17" spans="2:13">
      <c r="B17" s="3"/>
      <c r="C17" s="3" t="s">
        <v>129</v>
      </c>
      <c r="D17" s="3"/>
      <c r="E17" s="3" t="s">
        <v>130</v>
      </c>
    </row>
    <row r="18" spans="2:13" ht="7.5" customHeight="1">
      <c r="B18" s="7"/>
      <c r="C18" s="4"/>
      <c r="D18" s="4"/>
      <c r="E18" s="4"/>
      <c r="F18" s="4"/>
      <c r="G18" s="4"/>
      <c r="H18" s="4"/>
      <c r="I18" s="4"/>
      <c r="J18" s="4"/>
      <c r="K18" s="4"/>
      <c r="L18" s="4"/>
      <c r="M18" s="5"/>
    </row>
    <row r="19" spans="2:13" ht="7.5" customHeight="1">
      <c r="B19" s="9"/>
      <c r="C19" s="10"/>
      <c r="D19" s="10"/>
      <c r="E19" s="10"/>
      <c r="F19" s="10"/>
      <c r="G19" s="10"/>
      <c r="H19" s="10"/>
      <c r="I19" s="10"/>
      <c r="J19" s="10"/>
      <c r="K19" s="10"/>
      <c r="L19" s="10"/>
      <c r="M19" s="11"/>
    </row>
    <row r="21" spans="2:13">
      <c r="B21" s="3"/>
      <c r="C21" s="3"/>
      <c r="D21" s="3"/>
      <c r="E21" s="3" t="s">
        <v>23</v>
      </c>
    </row>
    <row r="22" spans="2:13" ht="7.5" customHeight="1">
      <c r="B22" s="7"/>
      <c r="C22" s="4"/>
      <c r="D22" s="4"/>
      <c r="E22" s="4"/>
      <c r="F22" s="4"/>
      <c r="G22" s="4"/>
      <c r="H22" s="4"/>
      <c r="I22" s="4"/>
      <c r="J22" s="4"/>
      <c r="K22" s="4"/>
      <c r="L22" s="4"/>
      <c r="M22" s="5"/>
    </row>
    <row r="23" spans="2:13">
      <c r="B23" s="12"/>
      <c r="C23" s="13"/>
      <c r="D23" s="13"/>
      <c r="E23" s="13"/>
      <c r="F23" s="13"/>
      <c r="G23" s="13"/>
      <c r="H23" s="13"/>
      <c r="I23" s="13"/>
      <c r="J23" s="13"/>
      <c r="K23" s="13"/>
      <c r="L23" s="13"/>
      <c r="M23" s="14"/>
    </row>
    <row r="24" spans="2:13" ht="7.5" customHeight="1">
      <c r="B24" s="9"/>
      <c r="C24" s="10"/>
      <c r="D24" s="10"/>
      <c r="E24" s="10"/>
      <c r="F24" s="10"/>
      <c r="G24" s="10"/>
      <c r="H24" s="10"/>
      <c r="I24" s="10"/>
      <c r="J24" s="10"/>
      <c r="K24" s="10"/>
      <c r="L24" s="10"/>
      <c r="M24" s="11"/>
    </row>
    <row r="27" spans="2:13" ht="7.5" customHeight="1">
      <c r="B27" s="7"/>
      <c r="C27" s="4"/>
      <c r="D27" s="4"/>
      <c r="E27" s="4"/>
      <c r="F27" s="4"/>
      <c r="G27" s="4"/>
      <c r="H27" s="4"/>
      <c r="I27" s="4"/>
      <c r="J27" s="4"/>
      <c r="K27" s="4"/>
      <c r="L27" s="4"/>
      <c r="M27" s="5"/>
    </row>
    <row r="28" spans="2:13">
      <c r="B28" s="8"/>
      <c r="E28" t="s">
        <v>24</v>
      </c>
      <c r="I28" t="s">
        <v>131</v>
      </c>
      <c r="M28" s="6"/>
    </row>
    <row r="29" spans="2:13" ht="7.5" customHeight="1">
      <c r="B29" s="9"/>
      <c r="C29" s="10"/>
      <c r="D29" s="10"/>
      <c r="E29" s="10"/>
      <c r="F29" s="10"/>
      <c r="G29" s="10"/>
      <c r="H29" s="10"/>
      <c r="I29" s="10"/>
      <c r="J29" s="10"/>
      <c r="K29" s="10"/>
      <c r="L29" s="10"/>
      <c r="M29" s="11"/>
    </row>
  </sheetData>
  <sheetProtection sheet="1" formatCells="0" formatColumns="0" formatRows="0" insertColumns="0" insertRows="0" insertHyperlinks="0"/>
  <conditionalFormatting sqref="G1:G6 G16:G1048576">
    <cfRule type="containsText" dxfId="3" priority="1" operator="containsText" text="TRUE">
      <formula>NOT(ISERROR(SEARCH("TRUE",G1)))</formula>
    </cfRule>
    <cfRule type="containsText" dxfId="2" priority="2" operator="containsText" text="FALSE">
      <formula>NOT(ISERROR(SEARCH("FALSE",G1)))</formula>
    </cfRule>
  </conditionalFormatting>
  <conditionalFormatting sqref="G1:G1048576">
    <cfRule type="containsText" dxfId="1" priority="3" operator="containsText" text="TRUE">
      <formula>NOT(ISERROR(SEARCH("TRUE",G1)))</formula>
    </cfRule>
    <cfRule type="containsText" dxfId="0" priority="4" operator="containsText" text="FALSE">
      <formula>NOT(ISERROR(SEARCH("FALSE",G1)))</formula>
    </cfRule>
  </conditionalFormatting>
  <hyperlinks>
    <hyperlink ref="E14" location="'D03 Company Debit Loan Summary'!A1" display="Company Debit Loan Summary" xr:uid="{2D9545A8-0FF4-4136-882D-A705173E2881}"/>
  </hyperlinks>
  <pageMargins left="0.7" right="0.7" top="0.75" bottom="0.75" header="0.3" footer="0.3"/>
  <customProperties>
    <customPr name="BinderStatusId" r:id="rId1"/>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9BD4D-99A6-4D62-B84C-286071169CF1}">
  <dimension ref="A1:B4"/>
  <sheetViews>
    <sheetView workbookViewId="0"/>
  </sheetViews>
  <sheetFormatPr defaultRowHeight="15"/>
  <sheetData>
    <row r="1" spans="1:2">
      <c r="A1" t="s">
        <v>25</v>
      </c>
      <c r="B1" t="s">
        <v>26</v>
      </c>
    </row>
    <row r="2" spans="1:2">
      <c r="A2" t="s">
        <v>27</v>
      </c>
      <c r="B2">
        <v>3</v>
      </c>
    </row>
    <row r="3" spans="1:2">
      <c r="A3" t="s">
        <v>28</v>
      </c>
      <c r="B3">
        <v>1732620223302</v>
      </c>
    </row>
    <row r="4" spans="1:2">
      <c r="A4" t="s">
        <v>29</v>
      </c>
      <c r="B4">
        <v>1725411100000</v>
      </c>
    </row>
  </sheetData>
  <sheetProtection sheet="1" formatCells="0" formatColumns="0" formatRows="0" insertColumns="0" insertRows="0" insertHyperlink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A4094A-96A3-43E5-8633-1178FACCC0FE}">
  <dimension ref="A1:F53"/>
  <sheetViews>
    <sheetView showGridLines="0" topLeftCell="A2" workbookViewId="0"/>
  </sheetViews>
  <sheetFormatPr defaultRowHeight="15"/>
  <cols>
    <col min="1" max="1" width="2.85546875" customWidth="1"/>
    <col min="2" max="2" width="1.42578125" customWidth="1"/>
    <col min="3" max="3" width="38.140625" customWidth="1"/>
    <col min="4" max="4" width="11.42578125" customWidth="1"/>
    <col min="5" max="5" width="38.140625" customWidth="1"/>
    <col min="6" max="6" width="1.42578125" customWidth="1"/>
  </cols>
  <sheetData>
    <row r="1" spans="1:6" hidden="1">
      <c r="A1" t="s">
        <v>5</v>
      </c>
      <c r="B1" t="s">
        <v>6</v>
      </c>
      <c r="C1" t="s">
        <v>30</v>
      </c>
      <c r="D1" t="s">
        <v>31</v>
      </c>
      <c r="E1" t="s">
        <v>32</v>
      </c>
      <c r="F1" t="s">
        <v>17</v>
      </c>
    </row>
    <row r="3" spans="1:6">
      <c r="B3" s="3"/>
      <c r="C3" s="3" t="s">
        <v>33</v>
      </c>
    </row>
    <row r="4" spans="1:6" ht="7.5" customHeight="1">
      <c r="B4" s="7"/>
      <c r="C4" s="4"/>
      <c r="D4" s="4"/>
      <c r="E4" s="4"/>
      <c r="F4" s="5"/>
    </row>
    <row r="5" spans="1:6">
      <c r="B5" s="8"/>
      <c r="C5" t="s">
        <v>34</v>
      </c>
      <c r="F5" s="6"/>
    </row>
    <row r="6" spans="1:6">
      <c r="B6" s="8"/>
      <c r="C6" s="275" t="s">
        <v>61</v>
      </c>
      <c r="D6" s="275"/>
      <c r="E6" s="275"/>
      <c r="F6" s="6"/>
    </row>
    <row r="7" spans="1:6">
      <c r="B7" s="8"/>
      <c r="C7" t="s">
        <v>35</v>
      </c>
      <c r="F7" s="6"/>
    </row>
    <row r="8" spans="1:6">
      <c r="B8" s="8"/>
      <c r="C8" s="275" t="s">
        <v>58</v>
      </c>
      <c r="D8" s="275"/>
      <c r="E8" s="275"/>
      <c r="F8" s="6"/>
    </row>
    <row r="9" spans="1:6">
      <c r="B9" s="8"/>
      <c r="C9" t="s">
        <v>36</v>
      </c>
      <c r="F9" s="6"/>
    </row>
    <row r="10" spans="1:6">
      <c r="B10" s="8"/>
      <c r="C10" s="275">
        <v>34674386586</v>
      </c>
      <c r="D10" s="275"/>
      <c r="E10" s="275"/>
      <c r="F10" s="6"/>
    </row>
    <row r="11" spans="1:6">
      <c r="B11" s="8"/>
      <c r="C11" t="s">
        <v>37</v>
      </c>
      <c r="E11" t="s">
        <v>38</v>
      </c>
      <c r="F11" s="6"/>
    </row>
    <row r="12" spans="1:6">
      <c r="B12" s="8"/>
      <c r="C12" s="15" t="s">
        <v>60</v>
      </c>
      <c r="E12" s="15" t="s">
        <v>65</v>
      </c>
      <c r="F12" s="6"/>
    </row>
    <row r="13" spans="1:6">
      <c r="B13" s="8"/>
      <c r="C13" t="s">
        <v>39</v>
      </c>
      <c r="E13" t="s">
        <v>40</v>
      </c>
      <c r="F13" s="6"/>
    </row>
    <row r="14" spans="1:6">
      <c r="B14" s="8"/>
      <c r="C14" s="16">
        <v>45108</v>
      </c>
      <c r="E14" s="16">
        <v>45473</v>
      </c>
      <c r="F14" s="6"/>
    </row>
    <row r="15" spans="1:6">
      <c r="B15" s="8"/>
      <c r="C15" t="s">
        <v>41</v>
      </c>
      <c r="E15" t="s">
        <v>42</v>
      </c>
      <c r="F15" s="6"/>
    </row>
    <row r="16" spans="1:6">
      <c r="B16" s="8"/>
      <c r="C16" s="15">
        <v>2024</v>
      </c>
      <c r="E16" s="15" t="s">
        <v>66</v>
      </c>
      <c r="F16" s="6"/>
    </row>
    <row r="17" spans="2:6">
      <c r="B17" s="8"/>
      <c r="C17" t="s">
        <v>43</v>
      </c>
      <c r="F17" s="6"/>
    </row>
    <row r="18" spans="2:6">
      <c r="B18" s="8"/>
      <c r="C18" s="15" t="s">
        <v>66</v>
      </c>
      <c r="F18" s="6"/>
    </row>
    <row r="19" spans="2:6" ht="7.5" customHeight="1">
      <c r="B19" s="9"/>
      <c r="C19" s="10"/>
      <c r="D19" s="10"/>
      <c r="E19" s="10"/>
      <c r="F19" s="11"/>
    </row>
    <row r="21" spans="2:6">
      <c r="B21" s="3"/>
      <c r="C21" s="3" t="s">
        <v>44</v>
      </c>
    </row>
    <row r="22" spans="2:6" ht="7.5" customHeight="1">
      <c r="B22" s="7"/>
      <c r="C22" s="4"/>
      <c r="D22" s="4"/>
      <c r="E22" s="4"/>
      <c r="F22" s="5"/>
    </row>
    <row r="23" spans="2:6">
      <c r="B23" s="8"/>
      <c r="C23" t="s">
        <v>45</v>
      </c>
      <c r="F23" s="6"/>
    </row>
    <row r="24" spans="2:6">
      <c r="B24" s="8"/>
      <c r="C24" s="275" t="s">
        <v>59</v>
      </c>
      <c r="D24" s="275"/>
      <c r="E24" s="275"/>
      <c r="F24" s="6"/>
    </row>
    <row r="25" spans="2:6">
      <c r="B25" s="8"/>
      <c r="C25" t="s">
        <v>46</v>
      </c>
      <c r="E25" t="s">
        <v>47</v>
      </c>
      <c r="F25" s="6"/>
    </row>
    <row r="26" spans="2:6">
      <c r="B26" s="8"/>
      <c r="C26" s="15"/>
      <c r="E26" s="15"/>
      <c r="F26" s="6"/>
    </row>
    <row r="27" spans="2:6" ht="7.5" customHeight="1">
      <c r="B27" s="9"/>
      <c r="C27" s="10"/>
      <c r="D27" s="10"/>
      <c r="E27" s="10"/>
      <c r="F27" s="11"/>
    </row>
    <row r="29" spans="2:6">
      <c r="B29" s="3"/>
      <c r="C29" s="3" t="s">
        <v>48</v>
      </c>
    </row>
    <row r="30" spans="2:6" ht="7.5" customHeight="1">
      <c r="B30" s="7"/>
      <c r="C30" s="4"/>
      <c r="D30" s="4"/>
      <c r="E30" s="4"/>
      <c r="F30" s="5"/>
    </row>
    <row r="31" spans="2:6">
      <c r="B31" s="8"/>
      <c r="C31" t="s">
        <v>49</v>
      </c>
      <c r="F31" s="6"/>
    </row>
    <row r="32" spans="2:6">
      <c r="B32" s="8"/>
      <c r="C32" s="275"/>
      <c r="D32" s="275"/>
      <c r="E32" s="275"/>
      <c r="F32" s="6"/>
    </row>
    <row r="33" spans="2:6">
      <c r="B33" s="8"/>
      <c r="C33" t="s">
        <v>50</v>
      </c>
      <c r="E33" t="s">
        <v>51</v>
      </c>
      <c r="F33" s="6"/>
    </row>
    <row r="34" spans="2:6">
      <c r="B34" s="8"/>
      <c r="C34" s="15"/>
      <c r="E34" s="15"/>
      <c r="F34" s="6"/>
    </row>
    <row r="35" spans="2:6" ht="7.5" customHeight="1">
      <c r="B35" s="9"/>
      <c r="C35" s="10"/>
      <c r="D35" s="10"/>
      <c r="E35" s="10"/>
      <c r="F35" s="11"/>
    </row>
    <row r="37" spans="2:6">
      <c r="B37" s="3"/>
      <c r="C37" s="3" t="s">
        <v>52</v>
      </c>
    </row>
    <row r="38" spans="2:6" ht="7.5" customHeight="1">
      <c r="B38" s="7"/>
      <c r="C38" s="4"/>
      <c r="D38" s="4"/>
      <c r="E38" s="4"/>
      <c r="F38" s="5"/>
    </row>
    <row r="39" spans="2:6">
      <c r="B39" s="8"/>
      <c r="C39" t="s">
        <v>53</v>
      </c>
      <c r="F39" s="6"/>
    </row>
    <row r="40" spans="2:6">
      <c r="B40" s="8"/>
      <c r="C40" s="275" t="s">
        <v>63</v>
      </c>
      <c r="D40" s="275"/>
      <c r="E40" s="275"/>
      <c r="F40" s="6"/>
    </row>
    <row r="41" spans="2:6">
      <c r="B41" s="8"/>
      <c r="C41" t="s">
        <v>3</v>
      </c>
      <c r="E41" t="s">
        <v>2</v>
      </c>
      <c r="F41" s="6"/>
    </row>
    <row r="42" spans="2:6">
      <c r="B42" s="8"/>
      <c r="C42" s="15" t="s">
        <v>62</v>
      </c>
      <c r="E42" s="15" t="s">
        <v>62</v>
      </c>
      <c r="F42" s="6"/>
    </row>
    <row r="43" spans="2:6">
      <c r="B43" s="8"/>
      <c r="C43" t="s">
        <v>1</v>
      </c>
      <c r="E43" t="s">
        <v>0</v>
      </c>
      <c r="F43" s="6"/>
    </row>
    <row r="44" spans="2:6">
      <c r="B44" s="8"/>
      <c r="C44" s="15" t="s">
        <v>64</v>
      </c>
      <c r="E44" s="15" t="s">
        <v>62</v>
      </c>
      <c r="F44" s="6"/>
    </row>
    <row r="45" spans="2:6">
      <c r="B45" s="8"/>
      <c r="C45" t="s">
        <v>54</v>
      </c>
      <c r="E45" t="s">
        <v>55</v>
      </c>
      <c r="F45" s="6"/>
    </row>
    <row r="46" spans="2:6">
      <c r="B46" s="8"/>
      <c r="C46" s="15"/>
      <c r="E46" s="15"/>
      <c r="F46" s="6"/>
    </row>
    <row r="47" spans="2:6" ht="7.5" customHeight="1">
      <c r="B47" s="9"/>
      <c r="C47" s="10"/>
      <c r="D47" s="10"/>
      <c r="E47" s="10"/>
      <c r="F47" s="11"/>
    </row>
    <row r="49" spans="2:6">
      <c r="B49" s="3"/>
      <c r="C49" s="3" t="s">
        <v>56</v>
      </c>
    </row>
    <row r="50" spans="2:6" ht="7.5" customHeight="1">
      <c r="B50" s="7"/>
      <c r="C50" s="4"/>
      <c r="D50" s="4"/>
      <c r="E50" s="4"/>
      <c r="F50" s="5"/>
    </row>
    <row r="51" spans="2:6">
      <c r="B51" s="8"/>
      <c r="C51" t="s">
        <v>57</v>
      </c>
      <c r="F51" s="6"/>
    </row>
    <row r="52" spans="2:6">
      <c r="B52" s="8"/>
      <c r="C52" s="275">
        <v>0.01</v>
      </c>
      <c r="D52" s="275"/>
      <c r="E52" s="275"/>
      <c r="F52" s="6"/>
    </row>
    <row r="53" spans="2:6" ht="7.5" customHeight="1">
      <c r="B53" s="9"/>
      <c r="C53" s="10"/>
      <c r="D53" s="10"/>
      <c r="E53" s="10"/>
      <c r="F53" s="11"/>
    </row>
  </sheetData>
  <sheetProtection sheet="1" formatCells="0" formatColumns="0" formatRows="0" insertColumns="0" insertRows="0" insertHyperlinks="0"/>
  <mergeCells count="7">
    <mergeCell ref="C52:E52"/>
    <mergeCell ref="C6:E6"/>
    <mergeCell ref="C8:E8"/>
    <mergeCell ref="C10:E10"/>
    <mergeCell ref="C24:E24"/>
    <mergeCell ref="C32:E32"/>
    <mergeCell ref="C40:E4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5BF9E-6070-467A-B7B9-0B6D8CCB1918}">
  <dimension ref="A1:C7"/>
  <sheetViews>
    <sheetView workbookViewId="0"/>
  </sheetViews>
  <sheetFormatPr defaultRowHeight="15"/>
  <cols>
    <col min="1" max="1" width="32.28515625" bestFit="1" customWidth="1"/>
    <col min="2" max="2" width="24.85546875" bestFit="1" customWidth="1"/>
    <col min="3" max="3" width="2" bestFit="1" customWidth="1"/>
  </cols>
  <sheetData>
    <row r="1" spans="1:3">
      <c r="A1" t="s">
        <v>190</v>
      </c>
      <c r="B1" t="s">
        <v>191</v>
      </c>
      <c r="C1">
        <f>IFERROR(SUM('G31 Div 7A Loan Calculator'!CategoryNamesList),0)</f>
        <v>0</v>
      </c>
    </row>
    <row r="2" spans="1:3">
      <c r="A2" t="s">
        <v>190</v>
      </c>
      <c r="B2" t="s">
        <v>192</v>
      </c>
      <c r="C2">
        <f>IFERROR(SUM('G31 Div 7A Loan Calculator'!G31_LoanBalance),0)</f>
        <v>10827</v>
      </c>
    </row>
    <row r="3" spans="1:3">
      <c r="A3" t="s">
        <v>190</v>
      </c>
      <c r="B3" t="s">
        <v>193</v>
      </c>
      <c r="C3">
        <f>IFERROR(SUM('G31 Div 7A Loan Calculator'!Interest_Rate),0)</f>
        <v>1130071.7677000002</v>
      </c>
    </row>
    <row r="4" spans="1:3">
      <c r="A4" t="s">
        <v>117</v>
      </c>
      <c r="B4" t="s">
        <v>118</v>
      </c>
      <c r="C4">
        <f>IFERROR(SUM('D03 Company Debit Loan Summary'!D03_Number_of_Directors),0)</f>
        <v>1</v>
      </c>
    </row>
    <row r="5" spans="1:3">
      <c r="A5" t="s">
        <v>117</v>
      </c>
      <c r="B5" t="s">
        <v>119</v>
      </c>
      <c r="C5">
        <f>IFERROR(SUM('D03 Company Debit Loan Summary'!D03_Number_of_Loans),0)</f>
        <v>1</v>
      </c>
    </row>
    <row r="6" spans="1:3">
      <c r="A6" t="s">
        <v>117</v>
      </c>
      <c r="B6" t="s">
        <v>38</v>
      </c>
      <c r="C6">
        <f>IFERROR(SUM('D03 Company Debit Loan Summary'!Jurisdiction),0)</f>
        <v>0</v>
      </c>
    </row>
    <row r="7" spans="1:3">
      <c r="A7" t="s">
        <v>247</v>
      </c>
      <c r="B7" t="s">
        <v>38</v>
      </c>
      <c r="C7">
        <f>IFERROR(SUM('D06 Distributable Surplus'!Jurisdiction),0)</f>
        <v>0</v>
      </c>
    </row>
  </sheetData>
  <sheetProtection sheet="1" formatCells="0" formatColumns="0" formatRows="0" insertColumns="0" insertRows="0" insertHyperlinks="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31043-5DDF-43A5-B956-999E9E8759DA}">
  <dimension ref="A1:L2"/>
  <sheetViews>
    <sheetView workbookViewId="0"/>
  </sheetViews>
  <sheetFormatPr defaultRowHeight="15"/>
  <sheetData>
    <row r="1" spans="1:12">
      <c r="A1" t="s">
        <v>81</v>
      </c>
      <c r="B1" t="s">
        <v>82</v>
      </c>
      <c r="C1" t="s">
        <v>83</v>
      </c>
      <c r="D1" t="s">
        <v>84</v>
      </c>
      <c r="E1" t="s">
        <v>85</v>
      </c>
      <c r="F1" t="s">
        <v>142</v>
      </c>
      <c r="G1" t="s">
        <v>186</v>
      </c>
      <c r="H1" t="s">
        <v>147</v>
      </c>
      <c r="I1" t="s">
        <v>185</v>
      </c>
      <c r="J1" t="s">
        <v>184</v>
      </c>
      <c r="K1" t="s">
        <v>101</v>
      </c>
      <c r="L1" t="s">
        <v>183</v>
      </c>
    </row>
    <row r="2" spans="1:12">
      <c r="A2" t="str">
        <f>INDEX('G31 Div 7A Loan Calculator'!CategoryNamesList,1,1)</f>
        <v>Director Loan - 2023</v>
      </c>
      <c r="B2" t="s">
        <v>190</v>
      </c>
      <c r="C2" t="s">
        <v>188</v>
      </c>
      <c r="D2" t="s">
        <v>194</v>
      </c>
      <c r="E2" t="str">
        <f>INDEX('G31 Div 7A Loan Calculator'!CategoryNamesList,1,1)&amp;"_5843ca72-ff96-4333-a63b-a8c3ea30f161"</f>
        <v>Director Loan - 2023_5843ca72-ff96-4333-a63b-a8c3ea30f161</v>
      </c>
      <c r="F2" t="str">
        <f ca="1">OFFSET('G31 Div 7A Loan Calculator'!CategoryNamesList, 0, 1, 1, 1)</f>
        <v>Director A</v>
      </c>
      <c r="G2">
        <f ca="1">OFFSET('G31 Div 7A Loan Calculator'!CategoryNamesList, 0, 4, 1, 1)</f>
        <v>10000</v>
      </c>
      <c r="H2">
        <f ca="1">OFFSET('G31 Div 7A Loan Calculator'!CategoryNamesList, 0, 5, 1, 1)</f>
        <v>0</v>
      </c>
      <c r="I2">
        <f ca="1">OFFSET('G31 Div 7A Loan Calculator'!CategoryNamesList, 0, 6, 1, 1)</f>
        <v>-2180.9</v>
      </c>
      <c r="J2">
        <f ca="1">OFFSET('G31 Div 7A Loan Calculator'!CategoryNamesList, 0, 7, 1, 1)</f>
        <v>2180.9</v>
      </c>
      <c r="K2">
        <f ca="1">OFFSET('G31 Div 7A Loan Calculator'!CategoryNamesList, 0, 8, 1, 1)</f>
        <v>827</v>
      </c>
      <c r="L2">
        <f ca="1">OFFSET('G31 Div 7A Loan Calculator'!CategoryNamesList, 0, 9, 1, 1)</f>
        <v>10827</v>
      </c>
    </row>
  </sheetData>
  <sheetProtection sheet="1" formatCells="0" formatColumns="0" formatRows="0" insertColumns="0" insertRows="0" insertHyperlinks="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C61B6-A630-47DA-B28D-4C41C8076474}">
  <dimension ref="A1:D4"/>
  <sheetViews>
    <sheetView workbookViewId="0"/>
  </sheetViews>
  <sheetFormatPr defaultRowHeight="15"/>
  <sheetData>
    <row r="1" spans="1:4">
      <c r="A1" t="s">
        <v>86</v>
      </c>
      <c r="B1" t="s">
        <v>87</v>
      </c>
      <c r="C1" t="s">
        <v>18</v>
      </c>
      <c r="D1" t="s">
        <v>88</v>
      </c>
    </row>
    <row r="2" spans="1:4">
      <c r="A2" t="s">
        <v>187</v>
      </c>
      <c r="B2" t="s">
        <v>188</v>
      </c>
      <c r="C2">
        <v>0.01</v>
      </c>
      <c r="D2" t="s">
        <v>189</v>
      </c>
    </row>
    <row r="3" spans="1:4">
      <c r="A3" t="s">
        <v>126</v>
      </c>
      <c r="B3" t="s">
        <v>132</v>
      </c>
      <c r="C3">
        <v>0.01</v>
      </c>
      <c r="D3" t="s">
        <v>111</v>
      </c>
    </row>
    <row r="4" spans="1:4">
      <c r="A4" t="s">
        <v>245</v>
      </c>
      <c r="B4" t="s">
        <v>246</v>
      </c>
      <c r="C4">
        <v>0.01</v>
      </c>
      <c r="D4" t="s">
        <v>238</v>
      </c>
    </row>
  </sheetData>
  <sheetProtection sheet="1" formatCells="0" formatColumns="0" formatRows="0" insertColumns="0" insertRows="0" insertHyperlinks="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5913F-4196-43B3-B7ED-43ADBA81D115}">
  <dimension ref="A1"/>
  <sheetViews>
    <sheetView workbookViewId="0"/>
  </sheetViews>
  <sheetFormatPr defaultRowHeight="15"/>
  <sheetData/>
  <sheetProtection sheet="1" formatCells="0" formatColumns="0" formatRows="0" insertColumns="0" insertRows="0" insertHyperlinks="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24C48-6B99-47D8-A1BB-58470F03CDE3}">
  <dimension ref="A1:N1"/>
  <sheetViews>
    <sheetView workbookViewId="0"/>
  </sheetViews>
  <sheetFormatPr defaultRowHeight="15"/>
  <sheetData>
    <row r="1" spans="1:14">
      <c r="A1" s="17" t="s">
        <v>67</v>
      </c>
      <c r="B1" s="17" t="s">
        <v>68</v>
      </c>
      <c r="C1" s="17" t="s">
        <v>69</v>
      </c>
      <c r="D1" s="17" t="s">
        <v>70</v>
      </c>
      <c r="E1" s="17" t="s">
        <v>71</v>
      </c>
      <c r="F1" s="17" t="s">
        <v>72</v>
      </c>
      <c r="G1" s="17" t="s">
        <v>73</v>
      </c>
      <c r="H1" s="17" t="s">
        <v>74</v>
      </c>
      <c r="I1" s="17" t="s">
        <v>75</v>
      </c>
      <c r="J1" s="17" t="s">
        <v>76</v>
      </c>
      <c r="K1" s="17" t="s">
        <v>77</v>
      </c>
      <c r="L1" s="17" t="s">
        <v>78</v>
      </c>
      <c r="M1" s="17" t="s">
        <v>79</v>
      </c>
      <c r="N1" s="17" t="s">
        <v>80</v>
      </c>
    </row>
  </sheetData>
  <sheetProtection sheet="1" formatCells="0" formatColumns="0" formatRows="0" insertColumns="0" insertRows="0" insertHyperlinks="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FE4793150CFD241B84E6E839F0BBD45" ma:contentTypeVersion="4" ma:contentTypeDescription="Create a new document." ma:contentTypeScope="" ma:versionID="c0b9a66a8241a267ba45a4d887682b0c">
  <xsd:schema xmlns:xsd="http://www.w3.org/2001/XMLSchema" xmlns:xs="http://www.w3.org/2001/XMLSchema" xmlns:p="http://schemas.microsoft.com/office/2006/metadata/properties" xmlns:ns2="e6957977-2756-448b-9320-70c3a7775cfe" targetNamespace="http://schemas.microsoft.com/office/2006/metadata/properties" ma:root="true" ma:fieldsID="99e427aa993975b35861b54b50f3339a" ns2:_="">
    <xsd:import namespace="e6957977-2756-448b-9320-70c3a7775cf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6957977-2756-448b-9320-70c3a7775cf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4FADFC4-8EF3-4E7D-83E1-FC0ACFCCFAA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6957977-2756-448b-9320-70c3a7775c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0E696A0-6AF8-4ED8-AFE0-2685018A72AA}">
  <ds:schemaRefs>
    <ds:schemaRef ds:uri="http://schemas.microsoft.com/sharepoint/v3/contenttype/forms"/>
  </ds:schemaRefs>
</ds:datastoreItem>
</file>

<file path=customXml/itemProps3.xml><?xml version="1.0" encoding="utf-8"?>
<ds:datastoreItem xmlns:ds="http://schemas.openxmlformats.org/officeDocument/2006/customXml" ds:itemID="{FB0ACE71-D6BD-4A14-BED5-8B3E0513BB5F}">
  <ds:schemaRefs>
    <ds:schemaRef ds:uri="http://schemas.microsoft.com/office/2006/metadata/properties"/>
    <ds:schemaRef ds:uri="http://www.w3.org/XML/1998/namespace"/>
    <ds:schemaRef ds:uri="http://schemas.microsoft.com/office/2006/documentManagement/types"/>
    <ds:schemaRef ds:uri="http://purl.org/dc/dcmitype/"/>
    <ds:schemaRef ds:uri="http://purl.org/dc/elements/1.1/"/>
    <ds:schemaRef ds:uri="e6957977-2756-448b-9320-70c3a7775cfe"/>
    <ds:schemaRef ds:uri="http://schemas.openxmlformats.org/package/2006/metadata/core-properties"/>
    <ds:schemaRef ds:uri="http://schemas.microsoft.com/office/infopath/2007/PartnerControl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107</vt:i4>
      </vt:variant>
    </vt:vector>
  </HeadingPairs>
  <TitlesOfParts>
    <vt:vector size="118" baseType="lpstr">
      <vt:lpstr>Cover</vt:lpstr>
      <vt:lpstr>G31 Div 7A Loan Calculator</vt:lpstr>
      <vt:lpstr>D03 Company Debit Loan Summary</vt:lpstr>
      <vt:lpstr>D06 Distributable Surplus</vt:lpstr>
      <vt:lpstr>Index</vt:lpstr>
      <vt:lpstr>Home</vt:lpstr>
      <vt:lpstr>Sheet_Named_Ranges</vt:lpstr>
      <vt:lpstr>HNSW_Summary</vt:lpstr>
      <vt:lpstr>Binder_Records</vt:lpstr>
      <vt:lpstr>Binder_Categories</vt:lpstr>
      <vt:lpstr>Taxonomy</vt:lpstr>
      <vt:lpstr>Binder_Properties!BinderId</vt:lpstr>
      <vt:lpstr>Binder_Properties!BinderVersion</vt:lpstr>
      <vt:lpstr>CategoryList</vt:lpstr>
      <vt:lpstr>'G31 Div 7A Loan Calculator'!CategoryNamesList</vt:lpstr>
      <vt:lpstr>Cl_ABNTFN</vt:lpstr>
      <vt:lpstr>Cl_Code</vt:lpstr>
      <vt:lpstr>Cl_Contact</vt:lpstr>
      <vt:lpstr>Cl_Email</vt:lpstr>
      <vt:lpstr>Cl_EntityType</vt:lpstr>
      <vt:lpstr>Cl_Name</vt:lpstr>
      <vt:lpstr>Cl_Phone</vt:lpstr>
      <vt:lpstr>Cl_Software</vt:lpstr>
      <vt:lpstr>Cl_SoftwarePassword</vt:lpstr>
      <vt:lpstr>Cl_SoftwareUsername</vt:lpstr>
      <vt:lpstr>'D03 Company Debit Loan Summary'!D03_Number_of_Directors</vt:lpstr>
      <vt:lpstr>'D03 Company Debit Loan Summary'!D03_Number_of_Loans</vt:lpstr>
      <vt:lpstr>Binder_Properties!DataVersion</vt:lpstr>
      <vt:lpstr>'G31 Div 7A Loan Calculator'!DynamicList_02</vt:lpstr>
      <vt:lpstr>'G31 Div 7A Loan Calculator'!DynamicList_03</vt:lpstr>
      <vt:lpstr>'G31 Div 7A Loan Calculator'!DynamicList_04</vt:lpstr>
      <vt:lpstr>'G31 Div 7A Loan Calculator'!DynamicList_05</vt:lpstr>
      <vt:lpstr>Firm_Manager</vt:lpstr>
      <vt:lpstr>Firm_Name</vt:lpstr>
      <vt:lpstr>Firm_Partner</vt:lpstr>
      <vt:lpstr>Firm_Preparer</vt:lpstr>
      <vt:lpstr>Firm_PreparerDate</vt:lpstr>
      <vt:lpstr>Firm_Reviewer</vt:lpstr>
      <vt:lpstr>Firm_ReviewerDate</vt:lpstr>
      <vt:lpstr>'G31 Div 7A Loan Calculator'!G31_LoanBalance</vt:lpstr>
      <vt:lpstr>'D03 Company Debit Loan Summary'!Go_Index</vt:lpstr>
      <vt:lpstr>'D06 Distributable Surplus'!Go_Index</vt:lpstr>
      <vt:lpstr>'G31 Div 7A Loan Calculator'!Go_Index</vt:lpstr>
      <vt:lpstr>'D03 Company Debit Loan Summary'!Go_RefreshSummary</vt:lpstr>
      <vt:lpstr>'G31 Div 7A Loan Calculator'!Go_RefreshSummary</vt:lpstr>
      <vt:lpstr>'G31 Div 7A Loan Calculator'!Go_RollUp_01</vt:lpstr>
      <vt:lpstr>'G31 Div 7A Loan Calculator'!Go_RollUp_03</vt:lpstr>
      <vt:lpstr>'G31 Div 7A Loan Calculator'!Go_RollUp_06</vt:lpstr>
      <vt:lpstr>'G31 Div 7A Loan Calculator'!Go_RollUp_07</vt:lpstr>
      <vt:lpstr>'D03 Company Debit Loan Summary'!Go_ShowHideRows</vt:lpstr>
      <vt:lpstr>'D03 Company Debit Loan Summary'!Go_ShowHideRows_01</vt:lpstr>
      <vt:lpstr>'G31 Div 7A Loan Calculator'!Go_Variance_01</vt:lpstr>
      <vt:lpstr>Binder_Properties!HomeVersion</vt:lpstr>
      <vt:lpstr>'G31 Div 7A Loan Calculator'!Interest_Rate</vt:lpstr>
      <vt:lpstr>'D03 Company Debit Loan Summary'!Jurisdiction</vt:lpstr>
      <vt:lpstr>'D06 Distributable Surplus'!Jurisdiction</vt:lpstr>
      <vt:lpstr>Jurisdiction</vt:lpstr>
      <vt:lpstr>Options_Tolerance</vt:lpstr>
      <vt:lpstr>PeriodEndDate</vt:lpstr>
      <vt:lpstr>PeriodStartDate</vt:lpstr>
      <vt:lpstr>PrimaryBalances</vt:lpstr>
      <vt:lpstr>'D06 Distributable Surplus'!Print_Area</vt:lpstr>
      <vt:lpstr>'G31 Div 7A Loan Calculator'!Print_Area</vt:lpstr>
      <vt:lpstr>'D03 Company Debit Loan Summary'!Reconcile_Director1LoanBalance</vt:lpstr>
      <vt:lpstr>'D03 Company Debit Loan Summary'!Reconcile_Director2LoanBalance</vt:lpstr>
      <vt:lpstr>'D03 Company Debit Loan Summary'!Reconcile_Director3LoanBalance</vt:lpstr>
      <vt:lpstr>'D03 Company Debit Loan Summary'!Reconcile_Div7AClosingBalance</vt:lpstr>
      <vt:lpstr>'G31 Div 7A Loan Calculator'!Reconcile_LoanBalance</vt:lpstr>
      <vt:lpstr>'D03 Company Debit Loan Summary'!Reconcile_TotalClosingBalance</vt:lpstr>
      <vt:lpstr>'D03 Company Debit Loan Summary'!Reconcile_UPEClosingBalance</vt:lpstr>
      <vt:lpstr>RecordInfo.RecordId</vt:lpstr>
      <vt:lpstr>RecordInfo.RecordTitle</vt:lpstr>
      <vt:lpstr>RecordInfo.SheetId</vt:lpstr>
      <vt:lpstr>RecordInfo.Tolerances</vt:lpstr>
      <vt:lpstr>SheetNamedRangesNames</vt:lpstr>
      <vt:lpstr>SheetNamedRangesSheetName</vt:lpstr>
      <vt:lpstr>SheetNamedRangesValues</vt:lpstr>
      <vt:lpstr>'G31 Div 7A Loan Calculator'!SingleCB_1</vt:lpstr>
      <vt:lpstr>'G31 Div 7A Loan Calculator'!SingleCB_6</vt:lpstr>
      <vt:lpstr>'G31 Div 7A Loan Calculator'!SingleOB_1</vt:lpstr>
      <vt:lpstr>'G31 Div 7A Loan Calculator'!SingleOB_2</vt:lpstr>
      <vt:lpstr>'G31 Div 7A Loan Calculator'!SingleOB_6</vt:lpstr>
      <vt:lpstr>Tax_BaseRateEntity</vt:lpstr>
      <vt:lpstr>Tax_SmallBusinessEntity</vt:lpstr>
      <vt:lpstr>Tax_Year</vt:lpstr>
      <vt:lpstr>'G31 Div 7A Loan Calculator'!Tm_Account</vt:lpstr>
      <vt:lpstr>'G31 Div 7A Loan Calculator'!Tm_BalanceStatus</vt:lpstr>
      <vt:lpstr>'G31 Div 7A Loan Calculator'!Tm_CategoryList</vt:lpstr>
      <vt:lpstr>'G31 Div 7A Loan Calculator'!Tm_EndRollUp_01</vt:lpstr>
      <vt:lpstr>'G31 Div 7A Loan Calculator'!Tm_EndRollUp_03</vt:lpstr>
      <vt:lpstr>'G31 Div 7A Loan Calculator'!Tm_EndRollUp_06</vt:lpstr>
      <vt:lpstr>'G31 Div 7A Loan Calculator'!Tm_EndRollUp_07</vt:lpstr>
      <vt:lpstr>'G31 Div 7A Loan Calculator'!Tm_Jurisdiction</vt:lpstr>
      <vt:lpstr>'G31 Div 7A Loan Calculator'!Tm_StartRollUp_01</vt:lpstr>
      <vt:lpstr>'G31 Div 7A Loan Calculator'!Tm_StartRollUp_03</vt:lpstr>
      <vt:lpstr>'G31 Div 7A Loan Calculator'!Tm_StartRollUp_06</vt:lpstr>
      <vt:lpstr>'G31 Div 7A Loan Calculator'!Tm_StartRollUp_07</vt:lpstr>
      <vt:lpstr>'D06 Distributable Surplus'!Tm_Status</vt:lpstr>
      <vt:lpstr>'G31 Div 7A Loan Calculator'!Tm_Status</vt:lpstr>
      <vt:lpstr>'G31 Div 7A Loan Calculator'!Tm_Sub</vt:lpstr>
      <vt:lpstr>'G31 Div 7A Loan Calculator'!Tm_TBAccount</vt:lpstr>
      <vt:lpstr>'G31 Div 7A Loan Calculator'!Tm_TBBalance</vt:lpstr>
      <vt:lpstr>'G31 Div 7A Loan Calculator'!Tm_Tolerance</vt:lpstr>
      <vt:lpstr>'G31 Div 7A Loan Calculator'!Tm_WorksheetTitle</vt:lpstr>
      <vt:lpstr>TrialBalance</vt:lpstr>
      <vt:lpstr>Tx_LedgerReport.AccountNames</vt:lpstr>
      <vt:lpstr>Tx_LedgerReport.AccountNos</vt:lpstr>
      <vt:lpstr>Tx_LedgerReport.Benchmark</vt:lpstr>
      <vt:lpstr>Tx_LedgerReport.LedgerSide</vt:lpstr>
      <vt:lpstr>Tx_LedgerReport.MappingCode</vt:lpstr>
      <vt:lpstr>Tx_LedgerReport.NonDeductibles</vt:lpstr>
      <vt:lpstr>Tx_LedgerReport.PPs</vt:lpstr>
      <vt:lpstr>Tx_LedgerReport.RowType</vt:lpstr>
      <vt:lpstr>Tx_LedgerReport.SourceAccountId</vt:lpstr>
      <vt:lpstr>Tx_LedgerReport.TaxonomyBalances</vt:lpstr>
      <vt:lpstr>Tx_LedgerReport.TaxonomyBalancesDrCr</vt:lpstr>
      <vt:lpstr>Tx_LedgerReport.TaxonomyIDs</vt:lpstr>
      <vt:lpstr>Tx_LedgerReport.TaxonomyNames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Active Workpapers</dc:creator>
  <cp:lastModifiedBy>Callum Matchett</cp:lastModifiedBy>
  <cp:lastPrinted>2022-07-06T03:03:17Z</cp:lastPrinted>
  <dcterms:created xsi:type="dcterms:W3CDTF">2022-05-25T00:00:00Z</dcterms:created>
  <dcterms:modified xsi:type="dcterms:W3CDTF">2024-11-27T08:50:54Z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ctivateBinderId">
    <vt:lpwstr>5b19301f-6048-445c-af57-40aae8ca7172</vt:lpwstr>
  </property>
  <property fmtid="{D5CDD505-2E9C-101B-9397-08002B2CF9AE}" pid="3" name="ContentTypeId">
    <vt:lpwstr>0x0101006FE4793150CFD241B84E6E839F0BBD45</vt:lpwstr>
  </property>
</Properties>
</file>