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allumMatchett\Downloads\"/>
    </mc:Choice>
  </mc:AlternateContent>
  <xr:revisionPtr revIDLastSave="0" documentId="8_{625590DE-30F8-4D83-A856-79BB3A86C511}" xr6:coauthVersionLast="47" xr6:coauthVersionMax="47" xr10:uidLastSave="{00000000-0000-0000-0000-000000000000}"/>
  <bookViews>
    <workbookView xWindow="-120" yWindow="-120" windowWidth="38370" windowHeight="14385" activeTab="3" xr2:uid="{00000000-000D-0000-FFFF-FFFF00000000}"/>
  </bookViews>
  <sheets>
    <sheet name="Cover" sheetId="1" r:id="rId1"/>
    <sheet name="G31 Div 7A Loan Calculator" sheetId="12" r:id="rId2"/>
    <sheet name="D03 Company Debit Loan Summary" sheetId="10" r:id="rId3"/>
    <sheet name="D06 Distributable Surplus" sheetId="13" r:id="rId4"/>
    <sheet name="Index" sheetId="2" state="hidden" r:id="rId5"/>
    <sheet name="Binder_Properties" sheetId="3" state="veryHidden" r:id="rId6"/>
    <sheet name="Home" sheetId="4" state="hidden" r:id="rId7"/>
    <sheet name="Sheet_Named_Ranges" sheetId="5" state="hidden" r:id="rId8"/>
    <sheet name="HNSW_Summary" sheetId="7" state="hidden" r:id="rId9"/>
    <sheet name="Binder_Records" sheetId="8" state="hidden" r:id="rId10"/>
    <sheet name="Binder_Categories" sheetId="9" state="hidden" r:id="rId11"/>
    <sheet name="Taxonomy" sheetId="11" state="hidden" r:id="rId12"/>
  </sheets>
  <definedNames>
    <definedName name="BinderId" localSheetId="5">Binder_Properties!$B$1</definedName>
    <definedName name="BinderVersion" localSheetId="5">Binder_Properties!$B$2</definedName>
    <definedName name="CategoryList">Binder_Categories!$A$1:$A$1</definedName>
    <definedName name="CategoryNamesList" localSheetId="1">'G31 Div 7A Loan Calculator'!$C$99</definedName>
    <definedName name="Cl_ABNTFN">Home!$C$10</definedName>
    <definedName name="Cl_Code">Home!$C$8</definedName>
    <definedName name="Cl_Contact">Home!$C$24</definedName>
    <definedName name="Cl_Email">Home!$E$26</definedName>
    <definedName name="Cl_EntityType">Home!$C$12</definedName>
    <definedName name="Cl_Name">Home!$C$6</definedName>
    <definedName name="Cl_Phone">Home!$C$26</definedName>
    <definedName name="Cl_Software">Home!$C$32</definedName>
    <definedName name="Cl_SoftwarePassword">Home!$E$34</definedName>
    <definedName name="Cl_SoftwareUsername">Home!$C$34</definedName>
    <definedName name="D03_Number_of_Directors" localSheetId="2">'D03 Company Debit Loan Summary'!$J$71</definedName>
    <definedName name="D03_Number_of_Loans" localSheetId="2">'D03 Company Debit Loan Summary'!$J$13</definedName>
    <definedName name="DataVersion" localSheetId="5">Binder_Properties!$B$3</definedName>
    <definedName name="DynamicList_02" localSheetId="1">'G31 Div 7A Loan Calculator'!$J$36</definedName>
    <definedName name="DynamicList_03" localSheetId="1">'G31 Div 7A Loan Calculator'!$J$37</definedName>
    <definedName name="DynamicList_04" localSheetId="1">'G31 Div 7A Loan Calculator'!$J$39</definedName>
    <definedName name="DynamicList_05" localSheetId="1">'G31 Div 7A Loan Calculator'!$J$35</definedName>
    <definedName name="Firm_Manager">Home!$E$42</definedName>
    <definedName name="Firm_Name">Home!$C$40</definedName>
    <definedName name="Firm_Partner">Home!$C$42</definedName>
    <definedName name="Firm_Preparer">Home!$C$44</definedName>
    <definedName name="Firm_PreparerDate">Home!$C$46</definedName>
    <definedName name="Firm_Reviewer">Home!$E$44</definedName>
    <definedName name="Firm_ReviewerDate">Home!$E$46</definedName>
    <definedName name="G31_LoanBalance" localSheetId="1">'G31 Div 7A Loan Calculator'!$J$50</definedName>
    <definedName name="Go_Index" localSheetId="2">'D03 Company Debit Loan Summary'!$M$3</definedName>
    <definedName name="Go_Index" localSheetId="3">'D06 Distributable Surplus'!$J$3</definedName>
    <definedName name="Go_Index" localSheetId="1">'G31 Div 7A Loan Calculator'!$L$4</definedName>
    <definedName name="Go_RefreshSummary" localSheetId="2">'D03 Company Debit Loan Summary'!$P$71</definedName>
    <definedName name="Go_RefreshSummary" localSheetId="1">'G31 Div 7A Loan Calculator'!$O$6</definedName>
    <definedName name="Go_RollUp_01" localSheetId="1">'G31 Div 7A Loan Calculator'!$A$10</definedName>
    <definedName name="Go_RollUp_03" localSheetId="1">'G31 Div 7A Loan Calculator'!$A$15:$H$15</definedName>
    <definedName name="Go_RollUp_06" localSheetId="1">'G31 Div 7A Loan Calculator'!$A$55:$G$55</definedName>
    <definedName name="Go_RollUp_07" localSheetId="1">'G31 Div 7A Loan Calculator'!$A$93:$G$93</definedName>
    <definedName name="Go_ShowHideRows" localSheetId="2">'D03 Company Debit Loan Summary'!$L$13:$M$13</definedName>
    <definedName name="Go_ShowHideRows_01" localSheetId="2">'D03 Company Debit Loan Summary'!$L$71:$M$71</definedName>
    <definedName name="Go_Variance_01" localSheetId="1">'G31 Div 7A Loan Calculator'!$J$52</definedName>
    <definedName name="HomeVersion" localSheetId="5">Binder_Properties!$B$4</definedName>
    <definedName name="Interest_Rate" localSheetId="1">'G31 Div 7A Loan Calculator'!$G$17:$J$30</definedName>
    <definedName name="Jurisdiction" localSheetId="2">'D03 Company Debit Loan Summary'!$M$1</definedName>
    <definedName name="Jurisdiction" localSheetId="3">'D06 Distributable Surplus'!$J$1</definedName>
    <definedName name="Jurisdiction">Home!$E$12</definedName>
    <definedName name="Options_Tolerance">Home!$C$52</definedName>
    <definedName name="PeriodEndDate">Home!$E$14</definedName>
    <definedName name="PeriodStartDate">Home!$C$14</definedName>
    <definedName name="PrimaryBalances">Taxonomy!$N:$N</definedName>
    <definedName name="_xlnm.Print_Area" localSheetId="3">'D06 Distributable Surplus'!$B:$K</definedName>
    <definedName name="_xlnm.Print_Area" localSheetId="1">'G31 Div 7A Loan Calculator'!$B$3:$M$125</definedName>
    <definedName name="Reconcile_Director1LoanBalance" localSheetId="2">'D03 Company Debit Loan Summary'!$J$73</definedName>
    <definedName name="Reconcile_Director2LoanBalance" localSheetId="2">'D03 Company Debit Loan Summary'!$J$74</definedName>
    <definedName name="Reconcile_Director3LoanBalance" localSheetId="2">'D03 Company Debit Loan Summary'!$J$75</definedName>
    <definedName name="Reconcile_Div7AClosingBalance" localSheetId="2">'D03 Company Debit Loan Summary'!$J$87</definedName>
    <definedName name="Reconcile_LoanBalance" localSheetId="1">'G31 Div 7A Loan Calculator'!$J$50</definedName>
    <definedName name="Reconcile_TotalClosingBalance" localSheetId="2">'D03 Company Debit Loan Summary'!$J$90</definedName>
    <definedName name="Reconcile_UPEClosingBalance" localSheetId="2">'D03 Company Debit Loan Summary'!$J$88</definedName>
    <definedName name="RecordInfo.RecordId">Binder_Records!$A:$A</definedName>
    <definedName name="RecordInfo.RecordTitle">Binder_Records!$D:$D</definedName>
    <definedName name="RecordInfo.SheetId">Binder_Records!$B:$B</definedName>
    <definedName name="RecordInfo.Tolerances">Binder_Records!$C:$C</definedName>
    <definedName name="SheetNamedRangesNames">Sheet_Named_Ranges!$B:$B</definedName>
    <definedName name="SheetNamedRangesSheetName">Sheet_Named_Ranges!$A:$A</definedName>
    <definedName name="SheetNamedRangesValues">Sheet_Named_Ranges!$C:$C</definedName>
    <definedName name="SingleCB_1" localSheetId="1">'G31 Div 7A Loan Calculator'!$J$46</definedName>
    <definedName name="SingleCB_6" localSheetId="1">'G31 Div 7A Loan Calculator'!$F$34</definedName>
    <definedName name="SingleOB_1" localSheetId="1">'G31 Div 7A Loan Calculator'!$K$41</definedName>
    <definedName name="SingleOB_2" localSheetId="1">'G31 Div 7A Loan Calculator'!$L$41</definedName>
    <definedName name="SingleOB_6" localSheetId="1">'G31 Div 7A Loan Calculator'!$F$34</definedName>
    <definedName name="Tax_BaseRateEntity">Home!$C$18</definedName>
    <definedName name="Tax_SmallBusinessEntity">Home!$E$16</definedName>
    <definedName name="Tax_Year">Home!$C$16</definedName>
    <definedName name="Tm_Account" localSheetId="1">'G31 Div 7A Loan Calculator'!$K$7</definedName>
    <definedName name="Tm_BalanceStatus" localSheetId="1">'G31 Div 7A Loan Calculator'!$L$6</definedName>
    <definedName name="Tm_CategoryList" localSheetId="1">'G31 Div 7A Loan Calculator'!$F$34</definedName>
    <definedName name="Tm_EndRollUp_01" localSheetId="1">'G31 Div 7A Loan Calculator'!$A$13</definedName>
    <definedName name="Tm_EndRollUp_03" localSheetId="1">'G31 Div 7A Loan Calculator'!$B$30</definedName>
    <definedName name="Tm_EndRollUp_06" localSheetId="1">'G31 Div 7A Loan Calculator'!$B$91</definedName>
    <definedName name="Tm_EndRollUp_07" localSheetId="1">'G31 Div 7A Loan Calculator'!$B$124</definedName>
    <definedName name="Tm_Jurisdiction" localSheetId="1">'G31 Div 7A Loan Calculator'!$L$2</definedName>
    <definedName name="Tm_StartRollUp_01" localSheetId="1">'G31 Div 7A Loan Calculator'!$A$11</definedName>
    <definedName name="Tm_StartRollUp_03" localSheetId="1">'G31 Div 7A Loan Calculator'!$B$16</definedName>
    <definedName name="Tm_StartRollUp_06" localSheetId="1">'G31 Div 7A Loan Calculator'!$B$56</definedName>
    <definedName name="Tm_StartRollUp_07" localSheetId="1">'G31 Div 7A Loan Calculator'!$B$94</definedName>
    <definedName name="Tm_Status" localSheetId="3">'D06 Distributable Surplus'!$I$3</definedName>
    <definedName name="Tm_Status" localSheetId="1">'G31 Div 7A Loan Calculator'!$K$4</definedName>
    <definedName name="Tm_Sub" localSheetId="1">'G31 Div 7A Loan Calculator'!$L$7</definedName>
    <definedName name="Tm_TBAccount" localSheetId="1">'G31 Div 7A Loan Calculator'!$J$7</definedName>
    <definedName name="Tm_TBBalance" localSheetId="1">'G31 Div 7A Loan Calculator'!$J$51</definedName>
    <definedName name="Tm_Tolerance" localSheetId="1">'G31 Div 7A Loan Calculator'!$M$6</definedName>
    <definedName name="Tm_WorksheetTitle" localSheetId="1">'G31 Div 7A Loan Calculator'!$E$4</definedName>
    <definedName name="TrialBalance">Taxonomy!$A:$N</definedName>
    <definedName name="Tx_LedgerReport.AccountNames">Taxonomy!$C:$C</definedName>
    <definedName name="Tx_LedgerReport.AccountNos">Taxonomy!$B:$B</definedName>
    <definedName name="Tx_LedgerReport.Benchmark">Taxonomy!$J:$J</definedName>
    <definedName name="Tx_LedgerReport.LedgerSide">Taxonomy!$K:$K</definedName>
    <definedName name="Tx_LedgerReport.MappingCode">Taxonomy!$I:$I</definedName>
    <definedName name="Tx_LedgerReport.NonDeductibles">Taxonomy!$H:$H</definedName>
    <definedName name="Tx_LedgerReport.PPs">Taxonomy!$G:$G</definedName>
    <definedName name="Tx_LedgerReport.RowType">Taxonomy!$D:$D</definedName>
    <definedName name="Tx_LedgerReport.SourceAccountId">Taxonomy!$A:$A</definedName>
    <definedName name="Tx_LedgerReport.TaxonomyBalances">Taxonomy!$L:$L</definedName>
    <definedName name="Tx_LedgerReport.TaxonomyBalancesDrCr">Taxonomy!$M:$M</definedName>
    <definedName name="Tx_LedgerReport.TaxonomyIDs">Taxonomy!$E:$E</definedName>
    <definedName name="Tx_LedgerReport.TaxonomyNames">Taxonomy!$F:$F</definedName>
    <definedName name="Z_558B4E49_BF54_4A2C_ACEB_D2B2F89A7C90_.wvu.PrintArea" localSheetId="2" hidden="1">'D03 Company Debit Loan Summary'!$C$12:$M$68</definedName>
    <definedName name="Z_833AC96D_4EBC_4216_8F63_12A77F8DCBC4_.wvu.PrintArea" localSheetId="2" hidden="1">'D03 Company Debit Loan Summary'!$C$12:$M$68</definedName>
    <definedName name="Z_CAD51596_6B73_4932_BD63_A9B6500D33A2_.wvu.PrintArea" localSheetId="2" hidden="1">'D03 Company Debit Loan Summary'!$C$12:$M$68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7" l="1"/>
  <c r="E2" i="7"/>
  <c r="F2" i="7"/>
  <c r="G2" i="7"/>
  <c r="H2" i="7"/>
  <c r="I2" i="7"/>
  <c r="J2" i="7"/>
  <c r="K2" i="7"/>
  <c r="L2" i="7"/>
  <c r="C1" i="5"/>
  <c r="C2" i="5"/>
  <c r="C3" i="5"/>
  <c r="C4" i="5"/>
  <c r="C5" i="5"/>
  <c r="C6" i="5"/>
  <c r="C7" i="5"/>
  <c r="J1" i="13" a="1"/>
  <c r="J1" i="13"/>
  <c r="C4" i="13"/>
  <c r="C5" i="13"/>
  <c r="J22" i="13"/>
  <c r="M6" i="12" l="1"/>
  <c r="L2" i="12"/>
  <c r="E5" i="12"/>
  <c r="E6" i="12"/>
  <c r="J43" i="12" s="1"/>
  <c r="L5" i="12"/>
  <c r="A10" i="12"/>
  <c r="A15" i="12"/>
  <c r="A55" i="12"/>
  <c r="G90" i="12"/>
  <c r="H90" i="12"/>
  <c r="A93" i="12"/>
  <c r="C99" i="12"/>
  <c r="D99" i="12"/>
  <c r="E129" i="12"/>
  <c r="F129" i="12"/>
  <c r="E130" i="12"/>
  <c r="F130" i="12"/>
  <c r="E131" i="12"/>
  <c r="F131" i="12"/>
  <c r="E132" i="12"/>
  <c r="F132" i="12"/>
  <c r="E133" i="12"/>
  <c r="F133" i="12"/>
  <c r="E134" i="12"/>
  <c r="F134" i="12"/>
  <c r="E135" i="12"/>
  <c r="F135" i="12"/>
  <c r="E136" i="12"/>
  <c r="F136" i="12"/>
  <c r="E137" i="12"/>
  <c r="F137" i="12"/>
  <c r="E138" i="12"/>
  <c r="F138" i="12"/>
  <c r="E139" i="12"/>
  <c r="F139" i="12"/>
  <c r="E140" i="12"/>
  <c r="F140" i="12"/>
  <c r="E141" i="12"/>
  <c r="F141" i="12"/>
  <c r="J40" i="12" l="1"/>
  <c r="J38" i="12"/>
  <c r="F62" i="12"/>
  <c r="F89" i="12"/>
  <c r="M1" i="10" a="1"/>
  <c r="M1" i="10" s="1"/>
  <c r="C4" i="10"/>
  <c r="C5" i="10"/>
  <c r="F23" i="10"/>
  <c r="F31" i="10"/>
  <c r="F39" i="10"/>
  <c r="F47" i="10"/>
  <c r="F55" i="10"/>
  <c r="F63" i="10"/>
  <c r="F53" i="10"/>
  <c r="F22" i="10"/>
  <c r="F46" i="10"/>
  <c r="F62" i="10"/>
  <c r="F24" i="10"/>
  <c r="F32" i="10"/>
  <c r="F40" i="10"/>
  <c r="F48" i="10"/>
  <c r="F56" i="10"/>
  <c r="F64" i="10"/>
  <c r="F35" i="10"/>
  <c r="F59" i="10"/>
  <c r="F20" i="10"/>
  <c r="F28" i="10"/>
  <c r="F36" i="10"/>
  <c r="F44" i="10"/>
  <c r="F60" i="10"/>
  <c r="F21" i="10"/>
  <c r="F37" i="10"/>
  <c r="F45" i="10"/>
  <c r="F61" i="10"/>
  <c r="C17" i="10" a="1"/>
  <c r="F30" i="10"/>
  <c r="F38" i="10"/>
  <c r="F54" i="10"/>
  <c r="F25" i="10"/>
  <c r="F33" i="10"/>
  <c r="F41" i="10"/>
  <c r="F49" i="10"/>
  <c r="F57" i="10"/>
  <c r="F65" i="10"/>
  <c r="F18" i="10"/>
  <c r="F26" i="10"/>
  <c r="F34" i="10"/>
  <c r="F42" i="10"/>
  <c r="F50" i="10"/>
  <c r="F58" i="10"/>
  <c r="F66" i="10"/>
  <c r="F19" i="10"/>
  <c r="F27" i="10"/>
  <c r="F43" i="10"/>
  <c r="F51" i="10"/>
  <c r="F52" i="10"/>
  <c r="F29" i="10"/>
  <c r="J48" i="12" l="1"/>
  <c r="E41" i="12"/>
  <c r="C17"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42" i="10"/>
  <c r="V43" i="10"/>
  <c r="V44" i="10"/>
  <c r="V45" i="10"/>
  <c r="V46" i="10"/>
  <c r="V47" i="10"/>
  <c r="V48" i="10"/>
  <c r="V49" i="10"/>
  <c r="V50" i="10"/>
  <c r="V51" i="10"/>
  <c r="V52" i="10"/>
  <c r="V53" i="10"/>
  <c r="V54" i="10"/>
  <c r="V55" i="10"/>
  <c r="V56" i="10"/>
  <c r="V57" i="10"/>
  <c r="V58" i="10"/>
  <c r="V59" i="10"/>
  <c r="V60" i="10"/>
  <c r="V61" i="10"/>
  <c r="V62" i="10"/>
  <c r="V63" i="10"/>
  <c r="V64" i="10"/>
  <c r="V65" i="10"/>
  <c r="V66" i="10"/>
  <c r="E17" i="10"/>
  <c r="J18" i="10"/>
  <c r="H19" i="10"/>
  <c r="M21" i="10"/>
  <c r="J22" i="10"/>
  <c r="H23" i="10"/>
  <c r="M25" i="10"/>
  <c r="J26" i="10"/>
  <c r="H27" i="10"/>
  <c r="M29" i="10"/>
  <c r="J30" i="10"/>
  <c r="H31" i="10"/>
  <c r="M33" i="10"/>
  <c r="J34" i="10"/>
  <c r="H35" i="10"/>
  <c r="M37" i="10"/>
  <c r="J38" i="10"/>
  <c r="H39" i="10"/>
  <c r="M41" i="10"/>
  <c r="J42" i="10"/>
  <c r="H43" i="10"/>
  <c r="M45" i="10"/>
  <c r="J46" i="10"/>
  <c r="H47" i="10"/>
  <c r="M49" i="10"/>
  <c r="J50" i="10"/>
  <c r="H51" i="10"/>
  <c r="M53" i="10"/>
  <c r="J54" i="10"/>
  <c r="H55" i="10"/>
  <c r="M57" i="10"/>
  <c r="J58" i="10"/>
  <c r="H59" i="10"/>
  <c r="M61" i="10"/>
  <c r="J62" i="10"/>
  <c r="H63" i="10"/>
  <c r="M65" i="10"/>
  <c r="J66" i="10"/>
  <c r="M66" i="10"/>
  <c r="G25" i="10"/>
  <c r="L27" i="10"/>
  <c r="E30" i="10"/>
  <c r="I32" i="10"/>
  <c r="G37" i="10"/>
  <c r="L39" i="10"/>
  <c r="G41" i="10"/>
  <c r="I44" i="10"/>
  <c r="G45" i="10"/>
  <c r="L47" i="10"/>
  <c r="G49" i="10"/>
  <c r="G53" i="10"/>
  <c r="L55" i="10"/>
  <c r="G57" i="10"/>
  <c r="L59" i="10"/>
  <c r="E62" i="10"/>
  <c r="I64" i="10"/>
  <c r="E66" i="10"/>
  <c r="E19" i="10"/>
  <c r="L20" i="10"/>
  <c r="G22" i="10"/>
  <c r="G26" i="10"/>
  <c r="L28" i="10"/>
  <c r="E31" i="10"/>
  <c r="L32" i="10"/>
  <c r="E35" i="10"/>
  <c r="I37" i="10"/>
  <c r="L40" i="10"/>
  <c r="E43" i="10"/>
  <c r="G46" i="10"/>
  <c r="L48" i="10"/>
  <c r="G50" i="10"/>
  <c r="G54" i="10"/>
  <c r="L56" i="10"/>
  <c r="E59" i="10"/>
  <c r="G62" i="10"/>
  <c r="L64" i="10"/>
  <c r="H22" i="10"/>
  <c r="M24" i="10"/>
  <c r="M28" i="10"/>
  <c r="J33" i="10"/>
  <c r="M36" i="10"/>
  <c r="J41" i="10"/>
  <c r="J45" i="10"/>
  <c r="H50" i="10"/>
  <c r="J53" i="10"/>
  <c r="J57" i="10"/>
  <c r="L18" i="10"/>
  <c r="I19" i="10"/>
  <c r="G20" i="10"/>
  <c r="E21" i="10"/>
  <c r="L22" i="10"/>
  <c r="I23" i="10"/>
  <c r="G24" i="10"/>
  <c r="E25" i="10"/>
  <c r="L26" i="10"/>
  <c r="I27" i="10"/>
  <c r="G28" i="10"/>
  <c r="E29" i="10"/>
  <c r="L30" i="10"/>
  <c r="I31" i="10"/>
  <c r="G32" i="10"/>
  <c r="E33" i="10"/>
  <c r="L34" i="10"/>
  <c r="I35" i="10"/>
  <c r="G36" i="10"/>
  <c r="E37" i="10"/>
  <c r="L38" i="10"/>
  <c r="I39" i="10"/>
  <c r="G40" i="10"/>
  <c r="E41" i="10"/>
  <c r="L42" i="10"/>
  <c r="I43" i="10"/>
  <c r="G44" i="10"/>
  <c r="E45" i="10"/>
  <c r="L46" i="10"/>
  <c r="I47" i="10"/>
  <c r="G48" i="10"/>
  <c r="E49" i="10"/>
  <c r="L50" i="10"/>
  <c r="I51" i="10"/>
  <c r="G52" i="10"/>
  <c r="E53" i="10"/>
  <c r="L54" i="10"/>
  <c r="I55" i="10"/>
  <c r="G56" i="10"/>
  <c r="E57" i="10"/>
  <c r="L58" i="10"/>
  <c r="I59" i="10"/>
  <c r="G60" i="10"/>
  <c r="E61" i="10"/>
  <c r="L62" i="10"/>
  <c r="I63" i="10"/>
  <c r="G64" i="10"/>
  <c r="E65" i="10"/>
  <c r="L66" i="10"/>
  <c r="H64" i="10"/>
  <c r="E18" i="10"/>
  <c r="I20" i="10"/>
  <c r="E22" i="10"/>
  <c r="I24" i="10"/>
  <c r="I28" i="10"/>
  <c r="G33" i="10"/>
  <c r="L35" i="10"/>
  <c r="E38" i="10"/>
  <c r="I40" i="10"/>
  <c r="E42" i="10"/>
  <c r="L43" i="10"/>
  <c r="E46" i="10"/>
  <c r="E50" i="10"/>
  <c r="I52" i="10"/>
  <c r="E54" i="10"/>
  <c r="I56" i="10"/>
  <c r="E58" i="10"/>
  <c r="I60" i="10"/>
  <c r="G65" i="10"/>
  <c r="G18" i="10"/>
  <c r="I21" i="10"/>
  <c r="E23" i="10"/>
  <c r="I25" i="10"/>
  <c r="I29" i="10"/>
  <c r="G34" i="10"/>
  <c r="L36" i="10"/>
  <c r="E39" i="10"/>
  <c r="I41" i="10"/>
  <c r="I45" i="10"/>
  <c r="E51" i="10"/>
  <c r="I53" i="10"/>
  <c r="G58" i="10"/>
  <c r="I61" i="10"/>
  <c r="I65" i="10"/>
  <c r="H18" i="10"/>
  <c r="M20" i="10"/>
  <c r="J25" i="10"/>
  <c r="J29" i="10"/>
  <c r="M32" i="10"/>
  <c r="J37" i="10"/>
  <c r="H42" i="10"/>
  <c r="M44" i="10"/>
  <c r="H46" i="10"/>
  <c r="M48" i="10"/>
  <c r="M52" i="10"/>
  <c r="M56" i="10"/>
  <c r="H62" i="10"/>
  <c r="M18" i="10"/>
  <c r="J19" i="10"/>
  <c r="H20" i="10"/>
  <c r="M22" i="10"/>
  <c r="J23" i="10"/>
  <c r="H24" i="10"/>
  <c r="M26" i="10"/>
  <c r="J27" i="10"/>
  <c r="H28" i="10"/>
  <c r="M30" i="10"/>
  <c r="J31" i="10"/>
  <c r="H32" i="10"/>
  <c r="M34" i="10"/>
  <c r="J35" i="10"/>
  <c r="H36" i="10"/>
  <c r="M38" i="10"/>
  <c r="J39" i="10"/>
  <c r="H40" i="10"/>
  <c r="M42" i="10"/>
  <c r="J43" i="10"/>
  <c r="H44" i="10"/>
  <c r="M46" i="10"/>
  <c r="J47" i="10"/>
  <c r="H48" i="10"/>
  <c r="M50" i="10"/>
  <c r="J51" i="10"/>
  <c r="H52" i="10"/>
  <c r="M54" i="10"/>
  <c r="J55" i="10"/>
  <c r="H56" i="10"/>
  <c r="M58" i="10"/>
  <c r="J59" i="10"/>
  <c r="H60" i="10"/>
  <c r="M62" i="10"/>
  <c r="J63" i="10"/>
  <c r="L19" i="10"/>
  <c r="G21" i="10"/>
  <c r="L23" i="10"/>
  <c r="E26" i="10"/>
  <c r="G29" i="10"/>
  <c r="L31" i="10"/>
  <c r="E34" i="10"/>
  <c r="I36" i="10"/>
  <c r="I48" i="10"/>
  <c r="L51" i="10"/>
  <c r="G61" i="10"/>
  <c r="L63" i="10"/>
  <c r="L24" i="10"/>
  <c r="E27" i="10"/>
  <c r="G30" i="10"/>
  <c r="I33" i="10"/>
  <c r="G38" i="10"/>
  <c r="G42" i="10"/>
  <c r="L44" i="10"/>
  <c r="E47" i="10"/>
  <c r="I49" i="10"/>
  <c r="L52" i="10"/>
  <c r="E55" i="10"/>
  <c r="I57" i="10"/>
  <c r="L60" i="10"/>
  <c r="E63" i="10"/>
  <c r="G66" i="10"/>
  <c r="J21" i="10"/>
  <c r="H26" i="10"/>
  <c r="H30" i="10"/>
  <c r="H34" i="10"/>
  <c r="H38" i="10"/>
  <c r="M40" i="10"/>
  <c r="J49" i="10"/>
  <c r="H54" i="10"/>
  <c r="H58" i="10"/>
  <c r="M60" i="10"/>
  <c r="M19" i="10"/>
  <c r="J20" i="10"/>
  <c r="H21" i="10"/>
  <c r="M23" i="10"/>
  <c r="J24" i="10"/>
  <c r="H25" i="10"/>
  <c r="M27" i="10"/>
  <c r="J28" i="10"/>
  <c r="H29" i="10"/>
  <c r="M31" i="10"/>
  <c r="J32" i="10"/>
  <c r="H33" i="10"/>
  <c r="M35" i="10"/>
  <c r="J36" i="10"/>
  <c r="H37" i="10"/>
  <c r="M39" i="10"/>
  <c r="J40" i="10"/>
  <c r="H41" i="10"/>
  <c r="M43" i="10"/>
  <c r="J44" i="10"/>
  <c r="H45" i="10"/>
  <c r="M47" i="10"/>
  <c r="J48" i="10"/>
  <c r="H49" i="10"/>
  <c r="M51" i="10"/>
  <c r="J52" i="10"/>
  <c r="H53" i="10"/>
  <c r="M55" i="10"/>
  <c r="J56" i="10"/>
  <c r="H57" i="10"/>
  <c r="M59" i="10"/>
  <c r="J60" i="10"/>
  <c r="H61" i="10"/>
  <c r="M63" i="10"/>
  <c r="J64" i="10"/>
  <c r="H65" i="10"/>
  <c r="L21" i="10"/>
  <c r="L25" i="10"/>
  <c r="L29" i="10"/>
  <c r="L33" i="10"/>
  <c r="L37" i="10"/>
  <c r="L41" i="10"/>
  <c r="L45" i="10"/>
  <c r="L49" i="10"/>
  <c r="L53" i="10"/>
  <c r="L57" i="10"/>
  <c r="J61" i="10"/>
  <c r="I66" i="10"/>
  <c r="L61" i="10"/>
  <c r="E64" i="10"/>
  <c r="I18" i="10"/>
  <c r="I22" i="10"/>
  <c r="I30" i="10"/>
  <c r="I34" i="10"/>
  <c r="I38" i="10"/>
  <c r="I42" i="10"/>
  <c r="I50" i="10"/>
  <c r="I58" i="10"/>
  <c r="M64" i="10"/>
  <c r="I62" i="10"/>
  <c r="G23" i="10"/>
  <c r="G31" i="10"/>
  <c r="G39" i="10"/>
  <c r="G47" i="10"/>
  <c r="J65" i="10"/>
  <c r="L65" i="10"/>
  <c r="E28" i="10"/>
  <c r="E44" i="10"/>
  <c r="E60" i="10"/>
  <c r="I54" i="10"/>
  <c r="G55" i="10"/>
  <c r="E20" i="10"/>
  <c r="E36" i="10"/>
  <c r="E52" i="10"/>
  <c r="G63" i="10"/>
  <c r="I26" i="10"/>
  <c r="I46" i="10"/>
  <c r="G27" i="10"/>
  <c r="G35" i="10"/>
  <c r="G43" i="10"/>
  <c r="G51" i="10"/>
  <c r="G59" i="10"/>
  <c r="E24" i="10"/>
  <c r="E40" i="10"/>
  <c r="E56" i="10"/>
  <c r="H66" i="10"/>
  <c r="G19" i="10"/>
  <c r="E32" i="10"/>
  <c r="E48" i="10"/>
  <c r="J62" i="12" l="1"/>
  <c r="H99" i="12"/>
  <c r="G99" i="12"/>
  <c r="J45" i="12"/>
  <c r="J63" i="12"/>
  <c r="J64" i="12" s="1"/>
  <c r="I65" i="12" s="1"/>
  <c r="I89" i="12"/>
  <c r="V73" i="10"/>
  <c r="V74" i="10"/>
  <c r="V75" i="10"/>
  <c r="V76" i="10"/>
  <c r="V77" i="10"/>
  <c r="V78" i="10"/>
  <c r="V79" i="10"/>
  <c r="V80" i="10"/>
  <c r="V81" i="10"/>
  <c r="V82" i="10"/>
  <c r="H17" i="10"/>
  <c r="G17" i="10"/>
  <c r="D32" i="10"/>
  <c r="D44" i="10"/>
  <c r="D26" i="10"/>
  <c r="D42" i="10"/>
  <c r="D49" i="10"/>
  <c r="D59" i="10"/>
  <c r="D28" i="10"/>
  <c r="D51" i="10"/>
  <c r="D38" i="10"/>
  <c r="D45" i="10"/>
  <c r="D43" i="10"/>
  <c r="D40" i="10"/>
  <c r="D64" i="10"/>
  <c r="D39" i="10"/>
  <c r="D22" i="10"/>
  <c r="D41" i="10"/>
  <c r="D35" i="10"/>
  <c r="D24" i="10"/>
  <c r="D63" i="10"/>
  <c r="D23" i="10"/>
  <c r="D18" i="10"/>
  <c r="D37" i="10"/>
  <c r="D31" i="10"/>
  <c r="D55" i="10"/>
  <c r="D33" i="10"/>
  <c r="D36" i="10"/>
  <c r="D61" i="10"/>
  <c r="D66" i="10"/>
  <c r="D20" i="10"/>
  <c r="D50" i="10"/>
  <c r="D25" i="10"/>
  <c r="D48" i="10"/>
  <c r="D60" i="10"/>
  <c r="D46" i="10"/>
  <c r="D30" i="10"/>
  <c r="D56" i="10"/>
  <c r="D52" i="10"/>
  <c r="D58" i="10"/>
  <c r="D65" i="10"/>
  <c r="D19" i="10"/>
  <c r="D47" i="10"/>
  <c r="D29" i="10"/>
  <c r="D17" i="10"/>
  <c r="D27" i="10"/>
  <c r="D57" i="10"/>
  <c r="D62" i="10"/>
  <c r="D34" i="10"/>
  <c r="D21" i="10"/>
  <c r="D54" i="10"/>
  <c r="D53" i="10"/>
  <c r="F17" i="10"/>
  <c r="G75" i="10"/>
  <c r="J76" i="10"/>
  <c r="H78" i="10"/>
  <c r="I81" i="10"/>
  <c r="H75" i="10"/>
  <c r="I78" i="10"/>
  <c r="G80" i="10"/>
  <c r="J81" i="10"/>
  <c r="J78" i="10"/>
  <c r="H80" i="10"/>
  <c r="J75" i="10"/>
  <c r="I77" i="10"/>
  <c r="J80" i="10"/>
  <c r="H82" i="10"/>
  <c r="J77" i="10"/>
  <c r="I82" i="10"/>
  <c r="I79" i="10"/>
  <c r="G78" i="10"/>
  <c r="I75" i="10"/>
  <c r="G82" i="10"/>
  <c r="G76" i="10"/>
  <c r="G81" i="10"/>
  <c r="I76" i="10"/>
  <c r="H81" i="10"/>
  <c r="G77" i="10"/>
  <c r="H77" i="10"/>
  <c r="I80" i="10"/>
  <c r="G79" i="10"/>
  <c r="H79" i="10"/>
  <c r="H76" i="10"/>
  <c r="J82" i="10"/>
  <c r="J79" i="10"/>
  <c r="G87" i="10"/>
  <c r="H87" i="10"/>
  <c r="G88" i="10"/>
  <c r="H88" i="10"/>
  <c r="I88" i="10"/>
  <c r="J88" i="10"/>
  <c r="J65" i="12" l="1"/>
  <c r="J66" i="12" s="1"/>
  <c r="J67" i="12" s="1"/>
  <c r="J68" i="12" s="1"/>
  <c r="J69" i="12" s="1"/>
  <c r="I69" i="12"/>
  <c r="I63" i="12"/>
  <c r="I68" i="12"/>
  <c r="I66" i="12"/>
  <c r="J44" i="12"/>
  <c r="J99" i="12" s="1"/>
  <c r="I67" i="12"/>
  <c r="I64" i="12"/>
  <c r="C73" i="10" a="1"/>
  <c r="G90" i="10"/>
  <c r="H90" i="10"/>
  <c r="L17" i="10"/>
  <c r="H74" i="10"/>
  <c r="G74" i="10"/>
  <c r="J74" i="10"/>
  <c r="I74" i="10"/>
  <c r="I70" i="12" l="1"/>
  <c r="J70" i="12"/>
  <c r="C73" i="10"/>
  <c r="A20" i="1" a="1"/>
  <c r="A20" i="1" s="1"/>
  <c r="A17" i="1" a="1"/>
  <c r="A17" i="1" s="1"/>
  <c r="A36" i="1" a="1"/>
  <c r="A36" i="1" s="1"/>
  <c r="B39" i="1" a="1"/>
  <c r="B39" i="1" s="1"/>
  <c r="B41" i="1" a="1"/>
  <c r="B41" i="1" s="1"/>
  <c r="B40" i="1" a="1"/>
  <c r="B40" i="1" s="1"/>
  <c r="B38" i="1" a="1"/>
  <c r="B38" i="1" s="1"/>
  <c r="H73" i="10"/>
  <c r="G73" i="10"/>
  <c r="J71" i="12" l="1"/>
  <c r="I71" i="12"/>
  <c r="J72" i="12" l="1"/>
  <c r="I72" i="12"/>
  <c r="J73" i="12" l="1"/>
  <c r="I73" i="12"/>
  <c r="J74" i="12" l="1"/>
  <c r="I74" i="12"/>
  <c r="J75" i="12" l="1"/>
  <c r="I75" i="12"/>
  <c r="J76" i="12" l="1"/>
  <c r="I76" i="12"/>
  <c r="J77" i="12" l="1"/>
  <c r="I77" i="12"/>
  <c r="I78" i="12" l="1"/>
  <c r="J78" i="12"/>
  <c r="I79" i="12" l="1"/>
  <c r="J79" i="12"/>
  <c r="J80" i="12" l="1"/>
  <c r="I80" i="12"/>
  <c r="J81" i="12" l="1"/>
  <c r="I81" i="12"/>
  <c r="J82" i="12" l="1"/>
  <c r="I82" i="12"/>
  <c r="J83" i="12" l="1"/>
  <c r="I83" i="12"/>
  <c r="J84" i="12" l="1"/>
  <c r="I84" i="12"/>
  <c r="J85" i="12" l="1"/>
  <c r="I85" i="12"/>
  <c r="J86" i="12" l="1"/>
  <c r="I86" i="12"/>
  <c r="J87" i="12" l="1"/>
  <c r="I87" i="12"/>
  <c r="J88" i="12" l="1"/>
  <c r="I88" i="12"/>
  <c r="I90" i="12" s="1"/>
  <c r="J46" i="12" l="1"/>
  <c r="K99" i="12"/>
  <c r="I17" i="10"/>
  <c r="I73" i="10" s="1"/>
  <c r="I87" i="10"/>
  <c r="I90" i="10" l="1"/>
  <c r="E99" i="12"/>
  <c r="L99" i="12"/>
  <c r="K46" i="12"/>
  <c r="J50" i="12"/>
  <c r="J52" i="12" l="1"/>
  <c r="J53" i="12" s="1" a="1"/>
  <c r="J53" i="12" s="1"/>
  <c r="L6" i="12" s="1"/>
  <c r="F99" i="12"/>
  <c r="J129" i="12"/>
  <c r="E100" i="12" s="1"/>
  <c r="G100" i="12" s="1"/>
  <c r="H128" i="12"/>
  <c r="G128" i="12"/>
  <c r="I128" i="12" s="1"/>
  <c r="I99" i="12"/>
  <c r="J128" i="12"/>
  <c r="M17" i="10"/>
  <c r="J17" i="10"/>
  <c r="J73" i="10" s="1"/>
  <c r="J87" i="10"/>
  <c r="J90" i="10" l="1"/>
  <c r="J130" i="12"/>
  <c r="H129" i="12"/>
  <c r="G129" i="12"/>
  <c r="I129" i="12" s="1"/>
  <c r="K100" i="12" s="1"/>
  <c r="F100" i="12"/>
  <c r="J100" i="12" l="1"/>
  <c r="L100" i="12" s="1"/>
  <c r="E101" i="12" l="1"/>
  <c r="J131" i="12" l="1"/>
  <c r="F101" i="12"/>
  <c r="H130" i="12"/>
  <c r="G130" i="12"/>
  <c r="I130" i="12" s="1"/>
  <c r="G101" i="12"/>
  <c r="K101" i="12" l="1"/>
  <c r="J101" i="12"/>
  <c r="L101" i="12" s="1"/>
  <c r="E102" i="12" l="1"/>
  <c r="J132" i="12" l="1"/>
  <c r="H131" i="12"/>
  <c r="F102" i="12"/>
  <c r="G131" i="12"/>
  <c r="I131" i="12" s="1"/>
  <c r="G102" i="12"/>
  <c r="K102" i="12" s="1"/>
  <c r="J102" i="12" l="1"/>
  <c r="L102" i="12" s="1"/>
  <c r="E103" i="12" l="1"/>
  <c r="J133" i="12" l="1"/>
  <c r="G132" i="12"/>
  <c r="I132" i="12" s="1"/>
  <c r="H132" i="12"/>
  <c r="F103" i="12"/>
  <c r="G103" i="12"/>
  <c r="K103" i="12" l="1"/>
  <c r="J103" i="12"/>
  <c r="L103" i="12" s="1"/>
  <c r="E104" i="12" l="1"/>
  <c r="J134" i="12" l="1"/>
  <c r="H133" i="12"/>
  <c r="F104" i="12"/>
  <c r="G133" i="12"/>
  <c r="I133" i="12" s="1"/>
  <c r="G104" i="12"/>
  <c r="K104" i="12" s="1"/>
  <c r="J104" i="12" l="1"/>
  <c r="L104" i="12" s="1"/>
  <c r="G105" i="12" l="1"/>
  <c r="E105" i="12"/>
  <c r="J135" i="12" l="1"/>
  <c r="F105" i="12"/>
  <c r="G134" i="12"/>
  <c r="I134" i="12" s="1"/>
  <c r="H134" i="12"/>
  <c r="J105" i="12" s="1"/>
  <c r="K105" i="12"/>
  <c r="L105" i="12" s="1"/>
  <c r="G106" i="12" l="1"/>
  <c r="E106" i="12"/>
  <c r="J136" i="12" l="1"/>
  <c r="G135" i="12"/>
  <c r="I135" i="12" s="1"/>
  <c r="H135" i="12"/>
  <c r="J106" i="12" s="1"/>
  <c r="F106" i="12"/>
  <c r="K106" i="12"/>
  <c r="L106" i="12"/>
  <c r="G107" i="12" s="1"/>
  <c r="K107" i="12" l="1"/>
  <c r="L107" i="12"/>
  <c r="G108" i="12" s="1"/>
  <c r="E107" i="12"/>
  <c r="J137" i="12" l="1"/>
  <c r="E108" i="12"/>
  <c r="G136" i="12"/>
  <c r="I136" i="12" s="1"/>
  <c r="H136" i="12"/>
  <c r="J107" i="12" s="1"/>
  <c r="F107" i="12"/>
  <c r="K108" i="12"/>
  <c r="L108" i="12"/>
  <c r="G109" i="12" s="1"/>
  <c r="K109" i="12" l="1"/>
  <c r="L109" i="12"/>
  <c r="G110" i="12" s="1"/>
  <c r="J138" i="12"/>
  <c r="H137" i="12"/>
  <c r="J108" i="12" s="1"/>
  <c r="F108" i="12"/>
  <c r="E109" i="12"/>
  <c r="G137" i="12"/>
  <c r="I137" i="12" s="1"/>
  <c r="J139" i="12" l="1"/>
  <c r="F109" i="12"/>
  <c r="H138" i="12"/>
  <c r="J109" i="12" s="1"/>
  <c r="E110" i="12"/>
  <c r="G138" i="12"/>
  <c r="I138" i="12" s="1"/>
  <c r="K110" i="12"/>
  <c r="L110" i="12"/>
  <c r="G111" i="12" s="1"/>
  <c r="K111" i="12" l="1"/>
  <c r="L111" i="12"/>
  <c r="G112" i="12" s="1"/>
  <c r="K112" i="12" s="1"/>
  <c r="L112" i="12" s="1"/>
  <c r="G113" i="12" s="1"/>
  <c r="H139" i="12"/>
  <c r="J110" i="12" s="1"/>
  <c r="F110" i="12"/>
  <c r="J141" i="12"/>
  <c r="J140" i="12"/>
  <c r="E111" i="12"/>
  <c r="G139" i="12"/>
  <c r="I139" i="12" s="1"/>
  <c r="J142" i="12" l="1"/>
  <c r="H141" i="12"/>
  <c r="J111" i="12" s="1"/>
  <c r="E112" i="12"/>
  <c r="G140" i="12"/>
  <c r="I140" i="12" s="1"/>
  <c r="H140" i="12"/>
  <c r="F111" i="12"/>
  <c r="G141" i="12"/>
  <c r="I141" i="12" s="1"/>
  <c r="K113" i="12"/>
  <c r="L113" i="12" s="1"/>
  <c r="G114" i="12" s="1"/>
  <c r="K114" i="12" s="1"/>
  <c r="L114" i="12" s="1"/>
  <c r="G115" i="12" s="1"/>
  <c r="K115" i="12" l="1"/>
  <c r="L115" i="12"/>
  <c r="G116" i="12" s="1"/>
  <c r="J143" i="12"/>
  <c r="G142" i="12"/>
  <c r="I142" i="12" s="1"/>
  <c r="F112" i="12"/>
  <c r="H142" i="12"/>
  <c r="J112" i="12" s="1"/>
  <c r="E113" i="12"/>
  <c r="J144" i="12" l="1"/>
  <c r="F113" i="12"/>
  <c r="H143" i="12"/>
  <c r="J113" i="12" s="1"/>
  <c r="G143" i="12"/>
  <c r="I143" i="12" s="1"/>
  <c r="E114" i="12"/>
  <c r="K116" i="12"/>
  <c r="L116" i="12"/>
  <c r="G117" i="12" s="1"/>
  <c r="K117" i="12" l="1"/>
  <c r="L117" i="12"/>
  <c r="G118" i="12" s="1"/>
  <c r="J145" i="12"/>
  <c r="G144" i="12"/>
  <c r="I144" i="12" s="1"/>
  <c r="E115" i="12"/>
  <c r="F114" i="12"/>
  <c r="H144" i="12"/>
  <c r="J114" i="12" s="1"/>
  <c r="J146" i="12" l="1"/>
  <c r="H145" i="12"/>
  <c r="J115" i="12" s="1"/>
  <c r="F115" i="12"/>
  <c r="E116" i="12"/>
  <c r="G145" i="12"/>
  <c r="I145" i="12" s="1"/>
  <c r="K118" i="12"/>
  <c r="L118" i="12"/>
  <c r="G119" i="12" s="1"/>
  <c r="K119" i="12" l="1"/>
  <c r="L119" i="12" s="1"/>
  <c r="G120" i="12" s="1"/>
  <c r="J147" i="12"/>
  <c r="G146" i="12"/>
  <c r="I146" i="12" s="1"/>
  <c r="F116" i="12"/>
  <c r="E117" i="12"/>
  <c r="H146" i="12"/>
  <c r="J116" i="12" s="1"/>
  <c r="K120" i="12" l="1"/>
  <c r="L120" i="12"/>
  <c r="G121" i="12" s="1"/>
  <c r="J148" i="12"/>
  <c r="F117" i="12"/>
  <c r="H147" i="12"/>
  <c r="J117" i="12" s="1"/>
  <c r="G147" i="12"/>
  <c r="I147" i="12" s="1"/>
  <c r="E118" i="12"/>
  <c r="J149" i="12" l="1"/>
  <c r="F118" i="12"/>
  <c r="E119" i="12"/>
  <c r="G148" i="12"/>
  <c r="I148" i="12" s="1"/>
  <c r="H148" i="12"/>
  <c r="J118" i="12" s="1"/>
  <c r="K121" i="12"/>
  <c r="L121" i="12" s="1"/>
  <c r="G122" i="12" s="1"/>
  <c r="K122" i="12" s="1"/>
  <c r="L122" i="12" s="1"/>
  <c r="G123" i="12" s="1"/>
  <c r="K123" i="12" l="1"/>
  <c r="L123" i="12"/>
  <c r="J150" i="12"/>
  <c r="G149" i="12"/>
  <c r="I149" i="12" s="1"/>
  <c r="H149" i="12"/>
  <c r="J119" i="12" s="1"/>
  <c r="E120" i="12"/>
  <c r="F119" i="12"/>
  <c r="J151" i="12" l="1"/>
  <c r="E121" i="12"/>
  <c r="G150" i="12"/>
  <c r="I150" i="12" s="1"/>
  <c r="F120" i="12"/>
  <c r="H150" i="12"/>
  <c r="J120" i="12" s="1"/>
  <c r="J152" i="12" l="1"/>
  <c r="H151" i="12"/>
  <c r="J121" i="12" s="1"/>
  <c r="E122" i="12"/>
  <c r="G151" i="12"/>
  <c r="I151" i="12" s="1"/>
  <c r="F121" i="12"/>
  <c r="J153" i="12" l="1"/>
  <c r="G152" i="12"/>
  <c r="I152" i="12" s="1"/>
  <c r="E123" i="12"/>
  <c r="F122" i="12"/>
  <c r="H152" i="12"/>
  <c r="J122" i="12" s="1"/>
  <c r="H153" i="12" l="1"/>
  <c r="J123" i="12" s="1"/>
  <c r="F123" i="12"/>
  <c r="G153" i="12"/>
  <c r="I153" i="1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<sst xmlns="http://schemas.openxmlformats.org/spreadsheetml/2006/main" count="329" uniqueCount="248">
  <si>
    <t>Reviewer</t>
  </si>
  <si>
    <t>Preparer</t>
  </si>
  <si>
    <t>Manager</t>
  </si>
  <si>
    <t>Partner</t>
  </si>
  <si>
    <t>Tools and Calculators</t>
  </si>
  <si>
    <t>Gap</t>
  </si>
  <si>
    <t>Insert</t>
  </si>
  <si>
    <t>SortId</t>
  </si>
  <si>
    <t>SortOrder</t>
  </si>
  <si>
    <t>AccountName</t>
  </si>
  <si>
    <t>Notes</t>
  </si>
  <si>
    <t>Flag</t>
  </si>
  <si>
    <t>Items</t>
  </si>
  <si>
    <t>Status</t>
  </si>
  <si>
    <t>StatusUpdatedBy</t>
  </si>
  <si>
    <t>StatusChangeDate</t>
  </si>
  <si>
    <t>RollOver</t>
  </si>
  <si>
    <t>End</t>
  </si>
  <si>
    <t>Tolerance</t>
  </si>
  <si>
    <t>Id</t>
  </si>
  <si>
    <t>Title</t>
  </si>
  <si>
    <t>Flagged</t>
  </si>
  <si>
    <t>Last Updated By</t>
  </si>
  <si>
    <t>Trial Balance last refreshed on Tue Nov 26 2024</t>
  </si>
  <si>
    <t>Index sheet updated</t>
  </si>
  <si>
    <t>BinderId</t>
  </si>
  <si>
    <t>5b19301f-6048-445c-af57-40aae8ca7172</t>
  </si>
  <si>
    <t>BinderVersion</t>
  </si>
  <si>
    <t>DataVersion</t>
  </si>
  <si>
    <t>HomeVersion</t>
  </si>
  <si>
    <t>Left</t>
  </si>
  <si>
    <t>Centre</t>
  </si>
  <si>
    <t>Right</t>
  </si>
  <si>
    <t>Entity Details</t>
  </si>
  <si>
    <t>Name of client</t>
  </si>
  <si>
    <t>Client code</t>
  </si>
  <si>
    <t>ABN/TFN</t>
  </si>
  <si>
    <t>Entity Type</t>
  </si>
  <si>
    <t>Jurisdiction</t>
  </si>
  <si>
    <t>Period start date</t>
  </si>
  <si>
    <t>Period end date</t>
  </si>
  <si>
    <t>Tax year</t>
  </si>
  <si>
    <t>Small business entity</t>
  </si>
  <si>
    <t>Base Rate entity</t>
  </si>
  <si>
    <t>Contact Details</t>
  </si>
  <si>
    <t>Contact name</t>
  </si>
  <si>
    <t>Telephone</t>
  </si>
  <si>
    <t>Email</t>
  </si>
  <si>
    <t>Software Details</t>
  </si>
  <si>
    <t>Client software</t>
  </si>
  <si>
    <t>Login name</t>
  </si>
  <si>
    <t>Password</t>
  </si>
  <si>
    <t>Firm Details</t>
  </si>
  <si>
    <t>Name of firm</t>
  </si>
  <si>
    <t>Preparer Date</t>
  </si>
  <si>
    <t>Reviewer Date</t>
  </si>
  <si>
    <t>Options</t>
  </si>
  <si>
    <t>Reconciliation Accuracy (Tolerance)</t>
  </si>
  <si>
    <t>MuM001</t>
  </si>
  <si>
    <t xml:space="preserve"> </t>
  </si>
  <si>
    <t>Company</t>
  </si>
  <si>
    <t>Springrange Holdings Pty Ltd</t>
  </si>
  <si>
    <t>Fleur Parsons</t>
  </si>
  <si>
    <t>Main Office</t>
  </si>
  <si>
    <t>Callum Matchett</t>
  </si>
  <si>
    <t>AU</t>
  </si>
  <si>
    <t>No</t>
  </si>
  <si>
    <t>Source Account Id</t>
  </si>
  <si>
    <t>Account No</t>
  </si>
  <si>
    <t>Account Name</t>
  </si>
  <si>
    <t>Row Type</t>
  </si>
  <si>
    <t>Taxonomy Id</t>
  </si>
  <si>
    <t>Taxonomy</t>
  </si>
  <si>
    <t>Is Primary Production</t>
  </si>
  <si>
    <t>Is Non Deductible</t>
  </si>
  <si>
    <t>Mapping Code</t>
  </si>
  <si>
    <t>Benchmark Code</t>
  </si>
  <si>
    <t>Ledger Side</t>
  </si>
  <si>
    <t>Balance</t>
  </si>
  <si>
    <t>Balance Dr/(Cr)</t>
  </si>
  <si>
    <t>Primary Dr/(Cr)</t>
  </si>
  <si>
    <t>CategoryName</t>
  </si>
  <si>
    <t>SheetName</t>
  </si>
  <si>
    <t>SheetId</t>
  </si>
  <si>
    <t>TemplateId</t>
  </si>
  <si>
    <t>SumCriteria</t>
  </si>
  <si>
    <t>Workpaper Record Id</t>
  </si>
  <si>
    <t>Worksheet Id</t>
  </si>
  <si>
    <t>Record Title</t>
  </si>
  <si>
    <t>Total Loans</t>
  </si>
  <si>
    <t>Total UPE Held on Sub-Trust (PS LA 2010/4)</t>
  </si>
  <si>
    <t>Total Division 7A Loans</t>
  </si>
  <si>
    <t>Total Division 7A and UPE Held on Sub-Trust Loans</t>
  </si>
  <si>
    <r>
      <rPr>
        <b/>
        <sz val="11"/>
        <color theme="0"/>
        <rFont val="Wingdings 3"/>
        <family val="1"/>
        <charset val="2"/>
      </rPr>
      <t>P</t>
    </r>
    <r>
      <rPr>
        <b/>
        <sz val="11"/>
        <color theme="0"/>
        <rFont val="Calibri"/>
        <family val="1"/>
        <charset val="2"/>
        <scheme val="minor"/>
      </rPr>
      <t xml:space="preserve">  Update Display</t>
    </r>
  </si>
  <si>
    <r>
      <t xml:space="preserve">   Number of Directors </t>
    </r>
    <r>
      <rPr>
        <sz val="9"/>
        <color theme="0" tint="-0.499984740745262"/>
        <rFont val="Calibri"/>
        <family val="2"/>
        <scheme val="minor"/>
      </rPr>
      <t>(Max. 10)</t>
    </r>
    <r>
      <rPr>
        <b/>
        <sz val="10"/>
        <color theme="1"/>
        <rFont val="Calibri"/>
        <family val="2"/>
        <scheme val="minor"/>
      </rPr>
      <t xml:space="preserve"> </t>
    </r>
    <r>
      <rPr>
        <b/>
        <sz val="10"/>
        <color rgb="FFC00000"/>
        <rFont val="Calibri"/>
        <family val="2"/>
        <scheme val="minor"/>
      </rPr>
      <t>*</t>
    </r>
  </si>
  <si>
    <r>
      <rPr>
        <b/>
        <sz val="11"/>
        <color theme="0"/>
        <rFont val="Wingdings 3"/>
        <family val="1"/>
        <charset val="2"/>
      </rPr>
      <t>P</t>
    </r>
    <r>
      <rPr>
        <b/>
        <sz val="11"/>
        <color theme="0"/>
        <rFont val="Calibri"/>
        <family val="1"/>
        <charset val="2"/>
        <scheme val="minor"/>
      </rPr>
      <t xml:space="preserve"> Update Summary Table</t>
    </r>
  </si>
  <si>
    <t>Summary by Director/Borrower</t>
  </si>
  <si>
    <t>Notes / Hyperlinks</t>
  </si>
  <si>
    <t xml:space="preserve">Over (Under)
Min. Repayment  </t>
  </si>
  <si>
    <t>Minimum Repayment</t>
  </si>
  <si>
    <t>Closing Balance</t>
  </si>
  <si>
    <t>Interest</t>
  </si>
  <si>
    <t>Actual Payments</t>
  </si>
  <si>
    <t>Opening Balance</t>
  </si>
  <si>
    <t>Worksheet Title</t>
  </si>
  <si>
    <r>
      <t xml:space="preserve">   Number of Loans </t>
    </r>
    <r>
      <rPr>
        <sz val="9"/>
        <color theme="0" tint="-0.499984740745262"/>
        <rFont val="Calibri"/>
        <family val="2"/>
        <scheme val="minor"/>
      </rPr>
      <t>(Max. 50)</t>
    </r>
    <r>
      <rPr>
        <b/>
        <sz val="10"/>
        <color theme="1"/>
        <rFont val="Calibri"/>
        <family val="2"/>
        <scheme val="minor"/>
      </rPr>
      <t xml:space="preserve"> </t>
    </r>
    <r>
      <rPr>
        <b/>
        <sz val="10"/>
        <color rgb="FFC00000"/>
        <rFont val="Calibri"/>
        <family val="2"/>
        <scheme val="minor"/>
      </rPr>
      <t>*</t>
    </r>
    <r>
      <rPr>
        <b/>
        <sz val="10"/>
        <color theme="1"/>
        <rFont val="Calibri"/>
        <family val="2"/>
        <scheme val="minor"/>
      </rPr>
      <t xml:space="preserve">   </t>
    </r>
  </si>
  <si>
    <t>Summary by Loan</t>
  </si>
  <si>
    <r>
      <t xml:space="preserve">Ensure the </t>
    </r>
    <r>
      <rPr>
        <b/>
        <sz val="10"/>
        <color theme="0" tint="-0.499984740745262"/>
        <rFont val="Calibri"/>
        <family val="2"/>
        <scheme val="minor"/>
      </rPr>
      <t>Number of Loans</t>
    </r>
    <r>
      <rPr>
        <sz val="10"/>
        <color theme="0" tint="-0.499984740745262"/>
        <rFont val="Calibri"/>
        <family val="2"/>
        <scheme val="minor"/>
      </rPr>
      <t xml:space="preserve"> and </t>
    </r>
    <r>
      <rPr>
        <b/>
        <sz val="10"/>
        <color theme="0" tint="-0.499984740745262"/>
        <rFont val="Calibri"/>
        <family val="2"/>
        <scheme val="minor"/>
      </rPr>
      <t>Number of Directors</t>
    </r>
    <r>
      <rPr>
        <sz val="10"/>
        <color theme="0" tint="-0.499984740745262"/>
        <rFont val="Calibri"/>
        <family val="2"/>
        <scheme val="minor"/>
      </rPr>
      <t xml:space="preserve"> cells are correct and then click the </t>
    </r>
    <r>
      <rPr>
        <b/>
        <sz val="10"/>
        <color theme="0" tint="-0.499984740745262"/>
        <rFont val="Calibri"/>
        <family val="2"/>
        <scheme val="minor"/>
      </rPr>
      <t>Update Display</t>
    </r>
    <r>
      <rPr>
        <sz val="10"/>
        <color theme="0" tint="-0.499984740745262"/>
        <rFont val="Calibri"/>
        <family val="2"/>
        <scheme val="minor"/>
      </rPr>
      <t xml:space="preserve"> buttons.</t>
    </r>
  </si>
  <si>
    <r>
      <rPr>
        <b/>
        <sz val="11"/>
        <color rgb="FF27A9E1"/>
        <rFont val="Webdings"/>
        <family val="1"/>
        <charset val="2"/>
      </rPr>
      <t>i</t>
    </r>
    <r>
      <rPr>
        <b/>
        <sz val="11"/>
        <color rgb="FF27A9E1"/>
        <rFont val="Calibri"/>
        <family val="1"/>
        <charset val="2"/>
        <scheme val="minor"/>
      </rPr>
      <t xml:space="preserve"> The purpose of this worksheet is to provide a summary of loans from ALL </t>
    </r>
    <r>
      <rPr>
        <sz val="11"/>
        <color rgb="FF27A9E1"/>
        <rFont val="Calibri"/>
        <family val="2"/>
        <scheme val="minor"/>
      </rPr>
      <t>G31 Division 7A</t>
    </r>
    <r>
      <rPr>
        <b/>
        <sz val="11"/>
        <color rgb="FF27A9E1"/>
        <rFont val="Calibri"/>
        <family val="1"/>
        <charset val="2"/>
        <scheme val="minor"/>
      </rPr>
      <t xml:space="preserve"> and </t>
    </r>
    <r>
      <rPr>
        <sz val="11"/>
        <color rgb="FF27A9E1"/>
        <rFont val="Calibri"/>
        <family val="2"/>
        <scheme val="minor"/>
      </rPr>
      <t>D08 UPE Repayment Calculator</t>
    </r>
    <r>
      <rPr>
        <b/>
        <sz val="11"/>
        <color rgb="FF27A9E1"/>
        <rFont val="Calibri"/>
        <family val="1"/>
        <charset val="2"/>
        <scheme val="minor"/>
      </rPr>
      <t xml:space="preserve"> worksheets.</t>
    </r>
  </si>
  <si>
    <t>5.24.1</t>
  </si>
  <si>
    <t>Version:</t>
  </si>
  <si>
    <t>Company Debit Loan Summary</t>
  </si>
  <si>
    <t>BF_Hide</t>
  </si>
  <si>
    <t>Jurisdiction:</t>
  </si>
  <si>
    <t>f6f11064-7a7f-48da-aa32-668ea15f4956</t>
  </si>
  <si>
    <t>Workpaper ID:</t>
  </si>
  <si>
    <t>Show Record</t>
  </si>
  <si>
    <t>D03 Company Debit Loan Summary</t>
  </si>
  <si>
    <t>D03_Number_of_Directors</t>
  </si>
  <si>
    <t>D03_Number_of_Loans</t>
  </si>
  <si>
    <t>4ae6fe27-1e67-40bc-a1a9-11f7e174cbaa</t>
  </si>
  <si>
    <t>Help Files</t>
  </si>
  <si>
    <t>562eb0e3-7e5e-457e-b352-4ae4a03cf494</t>
  </si>
  <si>
    <t>Overview</t>
  </si>
  <si>
    <t>15877f68-13b2-4d25-b370-93ed62a07412</t>
  </si>
  <si>
    <t>Summary</t>
  </si>
  <si>
    <t>9ab026de-5e97-410e-8239-28c30706fae2</t>
  </si>
  <si>
    <t>Created</t>
  </si>
  <si>
    <t>callum.matchett@businessfitness.com</t>
  </si>
  <si>
    <t>a08defab-44f0-444d-b83b-b4348d5bfb2a</t>
  </si>
  <si>
    <t>Summary Worksheets</t>
  </si>
  <si>
    <t>Not Started</t>
  </si>
  <si>
    <t>71077bd3-9ee6-4287-ac58-5c11c84c375f</t>
  </si>
  <si>
    <t>Days in Year</t>
  </si>
  <si>
    <t>INTEREST RATE</t>
  </si>
  <si>
    <t>Remaining Year</t>
  </si>
  <si>
    <t>YEAR</t>
  </si>
  <si>
    <t>MIN REPAYMENT CALCULATOR SECTION</t>
  </si>
  <si>
    <t>Minimum Repayment Required</t>
  </si>
  <si>
    <t xml:space="preserve">Over (Under) Minimum Repayment  </t>
  </si>
  <si>
    <t>Actual Payment Made</t>
  </si>
  <si>
    <t>Year</t>
  </si>
  <si>
    <t>Director</t>
  </si>
  <si>
    <r>
      <rPr>
        <b/>
        <sz val="11"/>
        <color rgb="FF27A9E1"/>
        <rFont val="Webdings"/>
        <family val="1"/>
        <charset val="2"/>
      </rPr>
      <t>i</t>
    </r>
    <r>
      <rPr>
        <b/>
        <sz val="11"/>
        <color rgb="FF27A9E1"/>
        <rFont val="Calibri"/>
        <family val="2"/>
        <scheme val="minor"/>
      </rPr>
      <t xml:space="preserve"> The minimum repayment and interest calculations for years after the current year are indicative values only, based on the current interest rate.
The actual minimum repayments will depend on the benchmark interest rate for each year.</t>
    </r>
  </si>
  <si>
    <t>Minimum Repayment Calculator</t>
  </si>
  <si>
    <t>Balance 
of Principal Outstanding</t>
  </si>
  <si>
    <t>Interest
at the Benchmark Interest Rate</t>
  </si>
  <si>
    <t>Repayments</t>
  </si>
  <si>
    <t>Drawdowns</t>
  </si>
  <si>
    <r>
      <t xml:space="preserve">Date </t>
    </r>
    <r>
      <rPr>
        <b/>
        <sz val="10"/>
        <color rgb="FFC00000"/>
        <rFont val="Calibri"/>
        <family val="2"/>
      </rPr>
      <t>*</t>
    </r>
  </si>
  <si>
    <t>Interest is calculated on the daily balance of principal outstanding, but only debited to the account on 30 June or the date the loan is repaid in full.
Total interest for the year is the amount appearing at the bottom of the table.</t>
  </si>
  <si>
    <r>
      <rPr>
        <b/>
        <sz val="11"/>
        <color rgb="FF27A9E1"/>
        <rFont val="Webdings"/>
        <family val="1"/>
        <charset val="2"/>
      </rPr>
      <t>i</t>
    </r>
    <r>
      <rPr>
        <b/>
        <sz val="11"/>
        <color rgb="FF27A9E1"/>
        <rFont val="Calibri"/>
        <family val="2"/>
        <scheme val="minor"/>
      </rPr>
      <t xml:space="preserve"> Enter transactions for the year. </t>
    </r>
  </si>
  <si>
    <t>Transactions for the Year</t>
  </si>
  <si>
    <t>Variance</t>
  </si>
  <si>
    <t>Balance per Ledger</t>
  </si>
  <si>
    <t>Total Loan</t>
  </si>
  <si>
    <t>This is a separate loan - use a new worksheet</t>
  </si>
  <si>
    <t>Drawdowns During Year</t>
  </si>
  <si>
    <t>Balance of Loan Not Repaid by End of Year</t>
  </si>
  <si>
    <t>Balance of Loan Not Repaid by Lodgement Day</t>
  </si>
  <si>
    <t>Minimum Yearly Repayment for the Current Financial Year</t>
  </si>
  <si>
    <t>No interest is payable in respect of the year the loan is made.</t>
  </si>
  <si>
    <t>Current Year's Benchmark Interest Rate</t>
  </si>
  <si>
    <r>
      <t xml:space="preserve">Lodgement Date </t>
    </r>
    <r>
      <rPr>
        <sz val="9"/>
        <color theme="0" tint="-0.499984740745262"/>
        <rFont val="Calibri"/>
        <family val="2"/>
      </rPr>
      <t>(if applicable)</t>
    </r>
  </si>
  <si>
    <r>
      <t xml:space="preserve">Remaining Term </t>
    </r>
    <r>
      <rPr>
        <sz val="9"/>
        <color theme="0" tint="-0.499984740745262"/>
        <rFont val="Calibri"/>
        <family val="2"/>
      </rPr>
      <t>(years)</t>
    </r>
  </si>
  <si>
    <r>
      <t xml:space="preserve">Term of Loan </t>
    </r>
    <r>
      <rPr>
        <sz val="9"/>
        <color theme="0" tint="-0.499984740745262"/>
        <rFont val="Calibri"/>
        <family val="2"/>
      </rPr>
      <t>(years)</t>
    </r>
  </si>
  <si>
    <t>Income Year of Loan</t>
  </si>
  <si>
    <t>Is the Loan Secured or Unsecured?</t>
  </si>
  <si>
    <t xml:space="preserve">Director Name </t>
  </si>
  <si>
    <t>Loan Name</t>
  </si>
  <si>
    <t>Notes/Hyperlinks</t>
  </si>
  <si>
    <t>Loan Details</t>
  </si>
  <si>
    <t>-</t>
  </si>
  <si>
    <t>Benchmark Interest Rates</t>
  </si>
  <si>
    <t>ATO Division 7A calculator and decision tool</t>
  </si>
  <si>
    <t>ATO Division 7A and trusts</t>
  </si>
  <si>
    <t>ATO Section 109R Some Payments Relating to Loans not Taken into Account</t>
  </si>
  <si>
    <t>Refer to:</t>
  </si>
  <si>
    <r>
      <rPr>
        <b/>
        <sz val="11"/>
        <color rgb="FF27A9E1"/>
        <rFont val="Webdings"/>
        <family val="1"/>
        <charset val="2"/>
      </rPr>
      <t>i</t>
    </r>
    <r>
      <rPr>
        <b/>
        <sz val="11"/>
        <color rgb="FF27A9E1"/>
        <rFont val="Calibri"/>
        <family val="1"/>
        <charset val="2"/>
        <scheme val="minor"/>
      </rPr>
      <t xml:space="preserve"> The purpose of this worksheet is to assist in determining the effect of Division 7A in relation to payments and loans and assist in meeting obligations on complying loans.</t>
    </r>
  </si>
  <si>
    <r>
      <rPr>
        <b/>
        <sz val="11"/>
        <color theme="0"/>
        <rFont val="Wingdings 3"/>
        <family val="1"/>
        <charset val="2"/>
      </rPr>
      <t>P</t>
    </r>
    <r>
      <rPr>
        <b/>
        <sz val="11"/>
        <color theme="0"/>
        <rFont val="Calibri"/>
        <family val="2"/>
        <scheme val="minor"/>
      </rPr>
      <t xml:space="preserve"> Refresh</t>
    </r>
  </si>
  <si>
    <t>5.24.5</t>
  </si>
  <si>
    <t>Division 7A - Interest &amp; Minimum Repayment Calculator</t>
  </si>
  <si>
    <t>1c70b874-6606-4d9f-be68-5e1e16ae849a</t>
  </si>
  <si>
    <t>ClBalance</t>
  </si>
  <si>
    <t>MinRepayments</t>
  </si>
  <si>
    <t>UnderOver</t>
  </si>
  <si>
    <t>OpBalance</t>
  </si>
  <si>
    <t>58fea58e-89b0-45a0-8ff2-1b94149fbb67</t>
  </si>
  <si>
    <t>8acd997b-c45f-44df-b52a-aa0e56a6969f</t>
  </si>
  <si>
    <t>Div 7A Calculator</t>
  </si>
  <si>
    <t>G31 Div 7A Loan Calculator</t>
  </si>
  <si>
    <t>CategoryNamesList</t>
  </si>
  <si>
    <t>G31_LoanBalance</t>
  </si>
  <si>
    <t>Interest_Rate</t>
  </si>
  <si>
    <t>5843ca72-ff96-4333-a63b-a8c3ea30f161</t>
  </si>
  <si>
    <t>Director Loan - 2023</t>
  </si>
  <si>
    <t>Director A</t>
  </si>
  <si>
    <t>Unsecured</t>
  </si>
  <si>
    <t>(ii) A loan, or a part of a loan, being forgiven.</t>
  </si>
  <si>
    <t>(i)  A dividend (being a later dividend for the purposes of section 109ZC or a subsequent dividend for the purposes of former subsection 108(2)) being paid by the company to the extent of the unfranked part of the dividend; or</t>
  </si>
  <si>
    <t xml:space="preserve">Amounts set off against loans that have been taken by former section 108 , or section 109D or 109E , to be dividends, other than such amounts that are set off as a result of:
</t>
  </si>
  <si>
    <t>(b)</t>
  </si>
  <si>
    <t>Any repayments to the company of loans or amounts that have been taken by former section 108 , or section 109D or 109E , to be dividends; and</t>
  </si>
  <si>
    <t>(a)</t>
  </si>
  <si>
    <t>Repayments of non-commercial loans mean the total of:</t>
  </si>
  <si>
    <t>Repayments of Non-Commercial Loans</t>
  </si>
  <si>
    <t>E</t>
  </si>
  <si>
    <t>Paid-up share value is the company's paid-up share capital at the end of its income year.</t>
  </si>
  <si>
    <t>Paid-Up Share Value</t>
  </si>
  <si>
    <t>D</t>
  </si>
  <si>
    <t>The total amount worked out under paragraph (b) might be reduced under subsection (2A).</t>
  </si>
  <si>
    <t xml:space="preserve">Any amounts that are included in the assessable income of shareholders, or associates of shareholders, of the company under section 109XB as if the amounts were dividends paid by the company in earlier years of income. </t>
  </si>
  <si>
    <t>(ii) Are shown as assets in the company's accounting records at the end of year of income; and</t>
  </si>
  <si>
    <t>(i)  The company is taken under former section 108 or section 109D or 109E, to have paid as dividends in earlier years of income; and</t>
  </si>
  <si>
    <t>Any amounts that:</t>
  </si>
  <si>
    <t>A non-commercial loan is the total of:</t>
  </si>
  <si>
    <t>Non-Commercial Loans</t>
  </si>
  <si>
    <t>C</t>
  </si>
  <si>
    <t>A Division 7A amount is the total of any payments (under section 109C) or forgiven debts (under section 109F) that are treated as dividends in the income year apart from this section.</t>
  </si>
  <si>
    <t>Division 7A Amounts</t>
  </si>
  <si>
    <t>B</t>
  </si>
  <si>
    <t>If the Commissioner considers that the company's accounting records significantly undervalue or overvalue its assets or undervalue or overvalue its provisions, the Commissioner may substitute a value that the Commissioner considers is appropriate.</t>
  </si>
  <si>
    <t>(iv) Other provisions prescribed under regulations made for the purposes of this subparagraph.</t>
  </si>
  <si>
    <t>(iii) Provisions for amortisation of intellectual property and trademarks;</t>
  </si>
  <si>
    <t>(ii)   Provision for annual leave and long service leave;</t>
  </si>
  <si>
    <t>(i)    Provision for depreciation;</t>
  </si>
  <si>
    <t>The following provisions (according to the company's accounting records):</t>
  </si>
  <si>
    <t>The present legal obligations of the company to persons other than the company; and</t>
  </si>
  <si>
    <t>Net Assets means the amount (if any), at the end of the company's year of income, by which the company's assets (according to the company's accounting records) exceed the sum of:</t>
  </si>
  <si>
    <t>Net Assets</t>
  </si>
  <si>
    <t>A</t>
  </si>
  <si>
    <t>Notes to the Above</t>
  </si>
  <si>
    <t>Distributable Surplus (Maximum Division 7A Dividend Possible)</t>
  </si>
  <si>
    <t>Less: Repayments of Non-Commercial Loans</t>
  </si>
  <si>
    <t>Less: Paid-Up Share Value</t>
  </si>
  <si>
    <t>Less: Non-Commercial Loans</t>
  </si>
  <si>
    <t>Amount</t>
  </si>
  <si>
    <t>Note</t>
  </si>
  <si>
    <t>Distributable Surplus</t>
  </si>
  <si>
    <r>
      <t xml:space="preserve">Refer to  </t>
    </r>
    <r>
      <rPr>
        <b/>
        <u/>
        <sz val="10"/>
        <color theme="0" tint="-0.499984740745262"/>
        <rFont val="Calibri"/>
        <family val="2"/>
      </rPr>
      <t>ATO - Division 7A - Distributable Surplus</t>
    </r>
  </si>
  <si>
    <t>Please note that if the amount of the deemed dividend exceeds the distributable surplus then the deemed dividend is limited to the distributable surplus.</t>
  </si>
  <si>
    <r>
      <rPr>
        <b/>
        <sz val="11"/>
        <color rgb="FF27A9E1"/>
        <rFont val="Webdings"/>
        <family val="1"/>
        <charset val="2"/>
      </rPr>
      <t>i</t>
    </r>
    <r>
      <rPr>
        <b/>
        <sz val="11"/>
        <color rgb="FF27A9E1"/>
        <rFont val="Calibri"/>
        <family val="2"/>
      </rPr>
      <t xml:space="preserve"> The purpose of this worksheet is to provide guidance on the calculation of the company's distributable surplus for the year ended 30 June. </t>
    </r>
  </si>
  <si>
    <t>Distributable Surplus Calculation</t>
  </si>
  <si>
    <t>5.24.0</t>
  </si>
  <si>
    <t>C497F85C-454A-4F7D-A44E-F2F901960028</t>
  </si>
  <si>
    <t>a86a5435-e3a0-4ef7-aa83-5de606178e12</t>
  </si>
  <si>
    <t>5c316729-cb35-4b04-b785-00be4e653fdb</t>
  </si>
  <si>
    <t>D06 Distributable Surplus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</si>
</sst>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C09]d\ mmmm\ yyyy;@"/>
    <numFmt numFmtId="165" formatCode="_(&quot;$&quot;* #,##0.00_);_(&quot;$&quot;* \(#,##0.00\);_(&quot;$&quot;* &quot;-&quot;_);_(@_)"/>
    <numFmt numFmtId="166" formatCode="_(* #,##0.00_);_(* \(#,##0.00\);_(* &quot;-&quot;_);_(@_)"/>
    <numFmt numFmtId="167" formatCode="_-* #,##0.00_-;\-* #,##0.00_-;_-* &quot;-&quot;??_-;_-@_-"/>
    <numFmt numFmtId="168" formatCode="_-&quot;$&quot;* #,##0.00_-;\-&quot;$&quot;* #,##0.00_-;_-&quot;$&quot;* &quot;-&quot;??_-;_-@_-"/>
    <numFmt numFmtId="169" formatCode="_-* #,##0.00_-;* \(#,##0.00\)_-;_-* &quot;-&quot;??_-;_-@_-"/>
  </numFmts>
  <fonts count="84">
    <font>
      <sz val="11"/>
      <color indexed="8"/>
      <name val="Calibri"/>
      <family val="2"/>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b/>
      <sz val="18"/>
      <name val="Calibri"/>
      <family val="2"/>
    </font>
    <font>
      <b/>
      <sz val="14"/>
      <name val="Calibri"/>
      <family val="2"/>
    </font>
    <font>
      <sz val="12"/>
      <name val="Calibri"/>
      <family val="2"/>
    </font>
    <font>
      <b/>
      <sz val="11"/>
      <color indexed="8"/>
      <name val="Calibri"/>
    </font>
    <font>
      <b/>
      <sz val="11"/>
      <color indexed="8"/>
      <name val="Calibri"/>
      <family val="2"/>
    </font>
    <font>
      <b/>
      <sz val="11"/>
      <color rgb="FF27AAE1"/>
      <name val="Calibri"/>
      <family val="2"/>
    </font>
    <font>
      <u/>
      <sz val="11"/>
      <color theme="10"/>
      <name val="Calibri"/>
      <family val="2"/>
    </font>
    <font>
      <sz val="10"/>
      <color theme="1"/>
      <name val="Calibri"/>
      <family val="2"/>
      <scheme val="minor"/>
    </font>
    <font>
      <b/>
      <sz val="10"/>
      <color rgb="FF333333"/>
      <name val="Calibri"/>
      <family val="2"/>
    </font>
    <font>
      <i/>
      <sz val="10"/>
      <color rgb="FF333333"/>
      <name val="Calibri"/>
      <family val="2"/>
      <scheme val="minor"/>
    </font>
    <font>
      <b/>
      <sz val="10"/>
      <color rgb="FF333333"/>
      <name val="Calibri"/>
      <family val="2"/>
      <scheme val="minor"/>
    </font>
    <font>
      <sz val="10"/>
      <color theme="1" tint="0.14999847407452621"/>
      <name val="Calibri"/>
      <family val="2"/>
      <scheme val="minor"/>
    </font>
    <font>
      <sz val="10"/>
      <color rgb="FF333333"/>
      <name val="Calibri"/>
      <family val="2"/>
    </font>
    <font>
      <sz val="10"/>
      <color theme="1" tint="0.14999847407452621"/>
      <name val="Calibri"/>
      <family val="2"/>
    </font>
    <font>
      <u/>
      <sz val="11"/>
      <color rgb="FF27A9E1"/>
      <name val="Calibri"/>
      <family val="2"/>
      <scheme val="minor"/>
    </font>
    <font>
      <b/>
      <sz val="11"/>
      <name val="Calibri"/>
      <family val="2"/>
      <scheme val="minor"/>
    </font>
    <font>
      <i/>
      <sz val="10"/>
      <color theme="0" tint="-0.499984740745262"/>
      <name val="Calibri"/>
      <family val="2"/>
    </font>
    <font>
      <b/>
      <sz val="11"/>
      <color theme="0"/>
      <name val="Calibri"/>
      <family val="1"/>
      <charset val="2"/>
      <scheme val="minor"/>
    </font>
    <font>
      <b/>
      <sz val="11"/>
      <color theme="0"/>
      <name val="Wingdings 3"/>
      <family val="1"/>
      <charset val="2"/>
    </font>
    <font>
      <b/>
      <sz val="10"/>
      <color theme="1"/>
      <name val="Calibri"/>
      <family val="2"/>
      <scheme val="minor"/>
    </font>
    <font>
      <sz val="9"/>
      <color theme="0" tint="-0.499984740745262"/>
      <name val="Calibri"/>
      <family val="2"/>
      <scheme val="minor"/>
    </font>
    <font>
      <b/>
      <sz val="10"/>
      <color rgb="FFC00000"/>
      <name val="Calibri"/>
      <family val="2"/>
      <scheme val="minor"/>
    </font>
    <font>
      <b/>
      <sz val="10"/>
      <color theme="0"/>
      <name val="Wingdings 3"/>
      <family val="1"/>
      <charset val="2"/>
    </font>
    <font>
      <b/>
      <sz val="10"/>
      <color rgb="FF27A9E1"/>
      <name val="Wingdings 3"/>
      <family val="1"/>
      <charset val="2"/>
    </font>
    <font>
      <b/>
      <sz val="11"/>
      <color rgb="FF27A9E1"/>
      <name val="Calibri"/>
      <family val="1"/>
      <charset val="2"/>
      <scheme val="minor"/>
    </font>
    <font>
      <sz val="10"/>
      <color theme="0" tint="-0.499984740745262"/>
      <name val="Calibri"/>
      <family val="2"/>
      <scheme val="minor"/>
    </font>
    <font>
      <b/>
      <sz val="10"/>
      <color theme="0" tint="-0.499984740745262"/>
      <name val="Calibri"/>
      <family val="2"/>
      <scheme val="minor"/>
    </font>
    <font>
      <b/>
      <sz val="11"/>
      <color rgb="FF27A9E1"/>
      <name val="Webdings"/>
      <family val="1"/>
      <charset val="2"/>
    </font>
    <font>
      <sz val="11"/>
      <color rgb="FF27A9E1"/>
      <name val="Calibri"/>
      <family val="2"/>
      <scheme val="minor"/>
    </font>
    <font>
      <b/>
      <sz val="14"/>
      <color rgb="FF333333"/>
      <name val="Calibri"/>
      <family val="2"/>
    </font>
    <font>
      <sz val="11"/>
      <color rgb="FF333333"/>
      <name val="Calibri"/>
      <family val="2"/>
    </font>
    <font>
      <b/>
      <sz val="11"/>
      <color rgb="FFFFFFFF"/>
      <name val="Calibri"/>
    </font>
    <font>
      <sz val="9"/>
      <color rgb="FF333333"/>
      <name val="Calibri"/>
      <family val="2"/>
    </font>
    <font>
      <b/>
      <sz val="9"/>
      <color rgb="FF333333"/>
      <name val="Calibri"/>
      <family val="2"/>
    </font>
    <font>
      <sz val="9"/>
      <name val="Arial"/>
      <family val="2"/>
    </font>
    <font>
      <b/>
      <i/>
      <sz val="10"/>
      <color rgb="FF333333"/>
      <name val="Calibri"/>
      <family val="2"/>
      <scheme val="minor"/>
    </font>
    <font>
      <b/>
      <sz val="11"/>
      <color rgb="FF27A9E1"/>
      <name val="Calibri"/>
      <family val="2"/>
      <scheme val="minor"/>
    </font>
    <font>
      <b/>
      <sz val="11"/>
      <color theme="1" tint="0.14999847407452621"/>
      <name val="Calibri"/>
      <family val="2"/>
      <scheme val="minor"/>
    </font>
    <font>
      <b/>
      <sz val="10"/>
      <color rgb="FFC00000"/>
      <name val="Calibri"/>
      <family val="2"/>
    </font>
    <font>
      <sz val="10"/>
      <color rgb="FF000000"/>
      <name val="Arial"/>
      <family val="2"/>
    </font>
    <font>
      <sz val="10"/>
      <color theme="0"/>
      <name val="Calibri"/>
      <family val="2"/>
      <scheme val="minor"/>
    </font>
    <font>
      <b/>
      <sz val="10"/>
      <color theme="0"/>
      <name val="Calibri"/>
      <family val="2"/>
    </font>
    <font>
      <b/>
      <sz val="10"/>
      <color rgb="FFFFFFFF"/>
      <name val="Calibri"/>
      <family val="2"/>
      <scheme val="minor"/>
    </font>
    <font>
      <sz val="10"/>
      <color rgb="FF333333"/>
      <name val="Calibri"/>
      <family val="2"/>
      <scheme val="minor"/>
    </font>
    <font>
      <b/>
      <sz val="11"/>
      <color rgb="FF333333"/>
      <name val="Calibri"/>
      <family val="2"/>
    </font>
    <font>
      <sz val="9"/>
      <color theme="0" tint="-0.499984740745262"/>
      <name val="Calibri"/>
      <family val="2"/>
    </font>
    <font>
      <b/>
      <sz val="8"/>
      <name val="Arial"/>
      <family val="2"/>
    </font>
    <font>
      <b/>
      <sz val="9"/>
      <name val="Arial"/>
      <family val="2"/>
    </font>
    <font>
      <b/>
      <sz val="10"/>
      <color rgb="FF000000"/>
      <name val="Arial"/>
      <family val="2"/>
    </font>
    <font>
      <b/>
      <i/>
      <sz val="10"/>
      <color rgb="FF000000"/>
      <name val="Arial"/>
      <family val="2"/>
    </font>
    <font>
      <b/>
      <u/>
      <sz val="11"/>
      <color theme="0" tint="-0.499984740745262"/>
      <name val="Calibri"/>
      <family val="2"/>
      <scheme val="minor"/>
    </font>
    <font>
      <sz val="11"/>
      <color theme="0" tint="-0.499984740745262"/>
      <name val="Calibri"/>
      <family val="2"/>
      <scheme val="minor"/>
    </font>
    <font>
      <b/>
      <sz val="11"/>
      <color theme="0" tint="-0.499984740745262"/>
      <name val="Calibri"/>
      <family val="2"/>
      <scheme val="minor"/>
    </font>
    <font>
      <sz val="11"/>
      <color theme="1" tint="0.14999847407452621"/>
      <name val="Calibri"/>
      <family val="2"/>
      <scheme val="minor"/>
    </font>
    <font>
      <sz val="10"/>
      <color rgb="FF444444"/>
      <name val="Calibri"/>
      <family val="2"/>
      <scheme val="minor"/>
    </font>
    <font>
      <i/>
      <sz val="10"/>
      <name val="Arial"/>
      <family val="2"/>
    </font>
    <font>
      <b/>
      <sz val="10"/>
      <name val="Arial"/>
      <family val="2"/>
    </font>
    <font>
      <sz val="10"/>
      <name val="Arial"/>
      <family val="2"/>
    </font>
    <font>
      <b/>
      <sz val="10"/>
      <color theme="0" tint="-0.499984740745262"/>
      <name val="Calibri"/>
      <family val="2"/>
    </font>
    <font>
      <b/>
      <u/>
      <sz val="10"/>
      <color theme="0" tint="-0.499984740745262"/>
      <name val="Calibri"/>
      <family val="2"/>
    </font>
    <font>
      <sz val="10"/>
      <color theme="0" tint="-0.499984740745262"/>
      <name val="Calibri"/>
      <family val="2"/>
    </font>
    <font>
      <b/>
      <sz val="11"/>
      <color rgb="FF27A9E1"/>
      <name val="Calibri"/>
      <family val="1"/>
      <charset val="2"/>
    </font>
    <font>
      <b/>
      <sz val="11"/>
      <color rgb="FF27A9E1"/>
      <name val="Calibri"/>
      <family val="2"/>
    </font>
    <font>
      <sz val="11"/>
      <color theme="1" tint="0.14999847407452621"/>
      <name val="Calibri"/>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indexed="64"/>
      </patternFill>
    </fill>
    <fill>
      <patternFill patternType="solid">
        <fgColor rgb="FFF2F2F2"/>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rgb="FF27A9E1"/>
        <bgColor indexed="64"/>
      </patternFill>
    </fill>
    <fill>
      <patternFill patternType="solid">
        <fgColor theme="1"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rgb="FF55ABDE"/>
        <bgColor indexed="64"/>
      </patternFill>
    </fill>
    <fill>
      <patternFill patternType="solid">
        <fgColor theme="0" tint="-0.249977111117893"/>
        <bgColor rgb="FF000000"/>
      </patternFill>
    </fill>
    <fill>
      <patternFill patternType="solid">
        <fgColor rgb="FFF2F2F2"/>
        <bgColor rgb="FF000000"/>
      </patternFill>
    </fill>
    <fill>
      <patternFill patternType="solid">
        <fgColor theme="7"/>
        <bgColor indexed="64"/>
      </patternFill>
    </fill>
    <fill>
      <patternFill patternType="solid">
        <fgColor rgb="FFBFBFBF"/>
        <bgColor indexed="64"/>
      </patternFill>
    </fill>
    <fill>
      <patternFill patternType="solid">
        <fgColor theme="0" tint="-0.249977111117893"/>
        <bgColor indexed="64"/>
      </patternFill>
    </fill>
  </fills>
  <borders count="6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D9D9D9"/>
      </top>
      <bottom/>
      <diagonal/>
    </border>
    <border>
      <left/>
      <right style="thin">
        <color rgb="FFD9D9D9"/>
      </right>
      <top style="thin">
        <color rgb="FFD9D9D9"/>
      </top>
      <bottom/>
      <diagonal/>
    </border>
    <border>
      <left/>
      <right style="thin">
        <color rgb="FFD9D9D9"/>
      </right>
      <top/>
      <bottom/>
      <diagonal/>
    </border>
    <border>
      <left style="thin">
        <color rgb="FFD9D9D9"/>
      </left>
      <right/>
      <top style="thin">
        <color rgb="FFD9D9D9"/>
      </top>
      <bottom/>
      <diagonal/>
    </border>
    <border>
      <left style="thin">
        <color rgb="FFD9D9D9"/>
      </left>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right style="thin">
        <color theme="0" tint="-0.14996795556505021"/>
      </right>
      <top/>
      <bottom style="thin">
        <color theme="0" tint="-0.14996795556505021"/>
      </bottom>
      <diagonal/>
    </border>
    <border>
      <left/>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top style="thin">
        <color theme="0"/>
      </top>
      <bottom style="thin">
        <color theme="0"/>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bottom/>
      <diagonal/>
    </border>
    <border>
      <left style="thin">
        <color theme="0"/>
      </left>
      <right style="thin">
        <color theme="0"/>
      </right>
      <top style="thin">
        <color theme="0"/>
      </top>
      <bottom style="thin">
        <color theme="0"/>
      </bottom>
      <diagonal/>
    </border>
    <border>
      <left style="thin">
        <color theme="0" tint="-0.14996795556505021"/>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right/>
      <top style="thin">
        <color theme="0" tint="-0.14996795556505021"/>
      </top>
      <bottom/>
      <diagonal/>
    </border>
    <border>
      <left/>
      <right/>
      <top style="thin">
        <color theme="0" tint="-0.14999847407452621"/>
      </top>
      <bottom/>
      <diagonal/>
    </border>
    <border>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6795556505021"/>
      </right>
      <top/>
      <bottom style="thin">
        <color theme="0" tint="-0.14993743705557422"/>
      </bottom>
      <diagonal/>
    </border>
    <border>
      <left/>
      <right/>
      <top/>
      <bottom style="thin">
        <color theme="0" tint="-0.14993743705557422"/>
      </bottom>
      <diagonal/>
    </border>
    <border>
      <left style="thin">
        <color theme="0" tint="-0.14996795556505021"/>
      </left>
      <right/>
      <top/>
      <bottom style="thin">
        <color theme="0" tint="-0.14993743705557422"/>
      </bottom>
      <diagonal/>
    </border>
    <border>
      <left style="thin">
        <color rgb="FF27A9E1"/>
      </left>
      <right style="thin">
        <color rgb="FF27A9E1"/>
      </right>
      <top style="thin">
        <color rgb="FF27A9E1"/>
      </top>
      <bottom style="thin">
        <color rgb="FF27A9E1"/>
      </bottom>
      <diagonal/>
    </border>
    <border>
      <left/>
      <right style="thin">
        <color theme="0" tint="-0.14993743705557422"/>
      </right>
      <top style="thin">
        <color theme="0" tint="-0.14993743705557422"/>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right style="thin">
        <color theme="0"/>
      </right>
      <top/>
      <bottom/>
      <diagonal/>
    </border>
    <border>
      <left style="thin">
        <color theme="0" tint="-0.14993743705557422"/>
      </left>
      <right/>
      <top/>
      <bottom style="thin">
        <color theme="0" tint="-0.14993743705557422"/>
      </bottom>
      <diagonal/>
    </border>
    <border>
      <left style="thin">
        <color theme="0" tint="-0.14993743705557422"/>
      </left>
      <right/>
      <top/>
      <bottom/>
      <diagonal/>
    </border>
    <border>
      <left/>
      <right/>
      <top style="thin">
        <color theme="0" tint="-0.14996795556505021"/>
      </top>
      <bottom style="thin">
        <color theme="0" tint="-0.14996795556505021"/>
      </bottom>
      <diagonal/>
    </border>
    <border>
      <left/>
      <right style="thin">
        <color theme="0" tint="-0.14996795556505021"/>
      </right>
      <top style="thin">
        <color theme="0" tint="-0.14993743705557422"/>
      </top>
      <bottom/>
      <diagonal/>
    </border>
    <border>
      <left/>
      <right/>
      <top style="thin">
        <color theme="0" tint="-0.14993743705557422"/>
      </top>
      <bottom/>
      <diagonal/>
    </border>
    <border>
      <left style="thin">
        <color theme="0" tint="-0.14993743705557422"/>
      </left>
      <right/>
      <top style="thin">
        <color theme="0" tint="-0.14993743705557422"/>
      </top>
      <bottom/>
      <diagonal/>
    </border>
    <border>
      <left/>
      <right/>
      <top style="thin">
        <color theme="0" tint="-0.14993743705557422"/>
      </top>
      <bottom style="thin">
        <color theme="0" tint="-0.14993743705557422"/>
      </bottom>
      <diagonal/>
    </border>
    <border>
      <left style="thin">
        <color theme="0" tint="-0.14996795556505021"/>
      </left>
      <right style="thin">
        <color theme="0" tint="-0.14996795556505021"/>
      </right>
      <top style="thin">
        <color theme="0" tint="-0.14996795556505021"/>
      </top>
      <bottom/>
      <diagonal/>
    </border>
    <border>
      <left/>
      <right style="thin">
        <color theme="0" tint="-0.14996795556505021"/>
      </right>
      <top/>
      <bottom style="thin">
        <color theme="0" tint="-0.14990691854609822"/>
      </bottom>
      <diagonal/>
    </border>
    <border>
      <left/>
      <right/>
      <top/>
      <bottom style="thin">
        <color theme="0" tint="-0.14990691854609822"/>
      </bottom>
      <diagonal/>
    </border>
    <border>
      <left style="thin">
        <color theme="0" tint="-0.14993743705557422"/>
      </left>
      <right/>
      <top/>
      <bottom style="thin">
        <color theme="0" tint="-0.14990691854609822"/>
      </bottom>
      <diagonal/>
    </border>
    <border>
      <left style="thin">
        <color theme="0" tint="-0.14996795556505021"/>
      </left>
      <right style="thin">
        <color theme="0" tint="-0.14996795556505021"/>
      </right>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int="-0.14996795556505021"/>
      </top>
      <bottom style="thin">
        <color theme="0" tint="-0.14996795556505021"/>
      </bottom>
      <diagonal/>
    </border>
    <border>
      <left style="thin">
        <color theme="0" tint="-0.14996795556505021"/>
      </left>
      <right style="thin">
        <color theme="0"/>
      </right>
      <top style="thin">
        <color theme="0" tint="-0.14996795556505021"/>
      </top>
      <bottom style="thin">
        <color theme="0" tint="-0.14996795556505021"/>
      </bottom>
      <diagonal/>
    </border>
    <border>
      <left/>
      <right style="thin">
        <color theme="0" tint="-0.14996795556505021"/>
      </right>
      <top style="thin">
        <color theme="0" tint="-0.14990691854609822"/>
      </top>
      <bottom/>
      <diagonal/>
    </border>
    <border>
      <left/>
      <right/>
      <top style="thin">
        <color theme="0" tint="-0.14990691854609822"/>
      </top>
      <bottom/>
      <diagonal/>
    </border>
    <border>
      <left style="thin">
        <color theme="0" tint="-0.14993743705557422"/>
      </left>
      <right/>
      <top style="thin">
        <color theme="0" tint="-0.14990691854609822"/>
      </top>
      <bottom/>
      <diagonal/>
    </border>
    <border>
      <left/>
      <right style="thin">
        <color theme="0" tint="-0.14990691854609822"/>
      </right>
      <top style="thin">
        <color theme="0" tint="-0.14990691854609822"/>
      </top>
      <bottom/>
      <diagonal/>
    </border>
    <border>
      <left style="thin">
        <color theme="0" tint="-0.14990691854609822"/>
      </left>
      <right/>
      <top style="thin">
        <color theme="0" tint="-0.14990691854609822"/>
      </top>
      <bottom/>
      <diagonal/>
    </border>
    <border>
      <left style="thin">
        <color theme="0"/>
      </left>
      <right style="thin">
        <color theme="0"/>
      </right>
      <top style="thin">
        <color theme="0"/>
      </top>
      <bottom/>
      <diagonal/>
    </border>
    <border>
      <left style="thin">
        <color theme="0" tint="-0.14996795556505021"/>
      </left>
      <right/>
      <top style="thin">
        <color theme="0" tint="-0.14996795556505021"/>
      </top>
      <bottom/>
      <diagonal/>
    </border>
  </borders>
  <cellStyleXfs count="8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6" fillId="0" borderId="0" applyNumberFormat="0" applyFill="0" applyBorder="0" applyAlignment="0" applyProtection="0"/>
    <xf numFmtId="0" fontId="1" fillId="0" borderId="0"/>
    <xf numFmtId="49" fontId="28" fillId="0" borderId="0">
      <alignment horizontal="left" vertical="center" wrapText="1"/>
    </xf>
    <xf numFmtId="49" fontId="29" fillId="0" borderId="0">
      <alignment vertical="center" wrapText="1"/>
    </xf>
    <xf numFmtId="49" fontId="32" fillId="35" borderId="22">
      <alignment vertical="center"/>
      <protection locked="0"/>
    </xf>
    <xf numFmtId="165" fontId="32" fillId="36" borderId="25">
      <alignment vertical="center"/>
    </xf>
    <xf numFmtId="49" fontId="29" fillId="36" borderId="27">
      <alignment horizontal="center" vertical="center" wrapText="1"/>
    </xf>
    <xf numFmtId="0" fontId="34" fillId="0" borderId="0" applyNumberFormat="0" applyFill="0" applyBorder="0" applyAlignment="0" applyProtection="0"/>
    <xf numFmtId="49" fontId="29" fillId="0" borderId="0">
      <alignment vertical="center" wrapText="1"/>
    </xf>
    <xf numFmtId="0" fontId="14" fillId="37" borderId="25" applyProtection="0">
      <alignment horizontal="center" vertical="center" wrapText="1"/>
    </xf>
    <xf numFmtId="167" fontId="1" fillId="0" borderId="0" applyFont="0" applyFill="0" applyBorder="0" applyAlignment="0" applyProtection="0"/>
    <xf numFmtId="166" fontId="32" fillId="36" borderId="25">
      <alignment vertical="center"/>
    </xf>
    <xf numFmtId="0" fontId="42" fillId="37" borderId="25" applyProtection="0">
      <alignment horizontal="center" vertical="center" wrapText="1"/>
    </xf>
    <xf numFmtId="0" fontId="28" fillId="0" borderId="0">
      <alignment horizontal="center" vertical="center" wrapText="1"/>
    </xf>
    <xf numFmtId="0" fontId="44" fillId="0" borderId="0">
      <alignment vertical="center"/>
    </xf>
    <xf numFmtId="0" fontId="49" fillId="0" borderId="0">
      <alignment vertical="center" wrapText="1"/>
      <protection locked="0"/>
    </xf>
    <xf numFmtId="164" fontId="50" fillId="35" borderId="25">
      <alignment horizontal="left" vertical="center" wrapText="1"/>
    </xf>
    <xf numFmtId="0" fontId="1" fillId="0" borderId="0"/>
    <xf numFmtId="0" fontId="32" fillId="36" borderId="25">
      <alignment horizontal="center" vertical="center" wrapText="1"/>
    </xf>
    <xf numFmtId="10" fontId="52" fillId="36" borderId="25">
      <alignment horizontal="center" vertical="center" wrapText="1"/>
    </xf>
    <xf numFmtId="1" fontId="32" fillId="36" borderId="25">
      <alignment horizontal="center" vertical="center" wrapText="1"/>
    </xf>
    <xf numFmtId="14" fontId="32" fillId="36" borderId="25">
      <alignment horizontal="center" vertical="center" wrapText="1"/>
    </xf>
    <xf numFmtId="0" fontId="32" fillId="36" borderId="25">
      <alignment horizontal="left" vertical="center" wrapText="1"/>
    </xf>
    <xf numFmtId="49" fontId="55" fillId="0" borderId="0">
      <alignment vertical="center" wrapText="1"/>
    </xf>
    <xf numFmtId="14" fontId="32" fillId="0" borderId="0">
      <alignment horizontal="center" vertical="center" wrapText="1"/>
    </xf>
    <xf numFmtId="166" fontId="32" fillId="35" borderId="25">
      <alignment vertical="center"/>
      <protection locked="0"/>
    </xf>
    <xf numFmtId="14" fontId="32" fillId="35" borderId="25">
      <alignment horizontal="center" vertical="center"/>
      <protection locked="0"/>
    </xf>
    <xf numFmtId="49" fontId="28" fillId="0" borderId="0">
      <alignment horizontal="center" vertical="center" wrapText="1"/>
    </xf>
    <xf numFmtId="0" fontId="28" fillId="0" borderId="0">
      <alignment horizontal="left" vertical="center" wrapText="1"/>
    </xf>
    <xf numFmtId="167" fontId="1" fillId="0" borderId="0" applyFont="0" applyFill="0" applyBorder="0" applyAlignment="0" applyProtection="0">
      <protection locked="0"/>
    </xf>
    <xf numFmtId="0" fontId="28" fillId="0" borderId="0">
      <alignment horizontal="left" vertical="center" wrapText="1"/>
    </xf>
    <xf numFmtId="0" fontId="32" fillId="35" borderId="25">
      <alignment horizontal="center" vertical="center" wrapText="1"/>
      <protection locked="0"/>
    </xf>
    <xf numFmtId="0" fontId="32" fillId="35" borderId="25">
      <alignment vertical="center" wrapText="1"/>
      <protection locked="0"/>
    </xf>
    <xf numFmtId="0" fontId="64" fillId="36" borderId="23">
      <alignment vertical="center" wrapText="1"/>
    </xf>
    <xf numFmtId="10" fontId="28" fillId="0" borderId="25">
      <alignment horizontal="center" vertical="center"/>
    </xf>
    <xf numFmtId="0" fontId="32" fillId="0" borderId="0">
      <alignment horizontal="center" vertical="center" wrapText="1"/>
    </xf>
    <xf numFmtId="0" fontId="14" fillId="44" borderId="34">
      <alignment horizontal="center" vertical="center"/>
    </xf>
    <xf numFmtId="0" fontId="14" fillId="45" borderId="34">
      <alignment horizontal="center" vertical="center"/>
    </xf>
    <xf numFmtId="0" fontId="28" fillId="35" borderId="25">
      <alignment horizontal="center" vertical="center" wrapText="1"/>
      <protection locked="0"/>
    </xf>
    <xf numFmtId="0" fontId="1" fillId="0" borderId="0"/>
    <xf numFmtId="0" fontId="50" fillId="35" borderId="25">
      <alignment horizontal="left" vertical="center" wrapText="1"/>
    </xf>
    <xf numFmtId="0" fontId="32" fillId="0" borderId="0">
      <alignment horizontal="left" vertical="center" wrapText="1"/>
    </xf>
  </cellStyleXfs>
  <cellXfs count="277">
    <xf numFmtId="0" fontId="0" fillId="0" borderId="0" xfId="0"/>
    <xf numFmtId="49" fontId="19" fillId="0" borderId="0" xfId="0" applyNumberFormat="1" applyFont="1" applyAlignment="1">
      <alignment horizontal="left"/>
    </xf>
    <xf numFmtId="0" fontId="20" fillId="0" borderId="0" xfId="0" applyFont="1" applyAlignment="1">
      <alignment horizontal="center" vertical="center"/>
    </xf>
    <xf numFmtId="164" fontId="22" fillId="0" borderId="0" xfId="0" applyNumberFormat="1" applyFont="1" applyAlignment="1">
      <alignment horizontal="center" vertical="center"/>
    </xf>
    <xf numFmtId="0" fontId="21" fillId="0" borderId="0" xfId="0" applyFont="1" applyAlignment="1">
      <alignment horizontal="center" vertical="center"/>
    </xf>
    <xf numFmtId="0" fontId="23" fillId="0" borderId="0" xfId="0" applyFont="1" applyAlignment="1">
      <alignment horizontal="center" vertical="center"/>
    </xf>
    <xf numFmtId="0" fontId="24" fillId="33" borderId="0" xfId="0" applyFont="1" applyFill="1" applyAlignment="1">
      <alignment horizontal="center"/>
    </xf>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5" fillId="0" borderId="14" xfId="0" applyFont="1" applyBorder="1" applyAlignment="1">
      <alignment horizontal="center"/>
    </xf>
    <xf numFmtId="0" fontId="25" fillId="0" borderId="0" xfId="0" applyFont="1" applyBorder="1" applyAlignment="1">
      <alignment horizontal="center"/>
    </xf>
    <xf numFmtId="0" fontId="25" fillId="0" borderId="12" xfId="0" applyFont="1" applyBorder="1" applyAlignment="1">
      <alignment horizontal="center"/>
    </xf>
    <xf numFmtId="0" fontId="24" fillId="34" borderId="0" xfId="0" applyFont="1" applyFill="1" applyBorder="1"/>
    <xf numFmtId="0" fontId="24" fillId="34" borderId="0" xfId="0" applyFont="1" applyFill="1" applyBorder="1"/>
    <xf numFmtId="14" fontId="24" fillId="34" borderId="0" xfId="0" applyNumberFormat="1" applyFont="1" applyFill="1" applyBorder="1"/>
    <xf numFmtId="0" fontId="24" fillId="0" borderId="0" xfId="0" applyFont="1"/>
    <xf numFmtId="0" fontId="1" fillId="0" borderId="0" xfId="43"/>
    <xf numFmtId="0" fontId="27" fillId="0" borderId="0" xfId="43" applyFont="1"/>
    <xf numFmtId="49" fontId="28" fillId="0" borderId="0" xfId="44">
      <alignment horizontal="left" vertical="center" wrapText="1"/>
    </xf>
    <xf numFmtId="0" fontId="1" fillId="0" borderId="18" xfId="43" applyBorder="1"/>
    <xf numFmtId="49" fontId="28" fillId="0" borderId="19" xfId="44" applyBorder="1">
      <alignment horizontal="left" vertical="center" wrapText="1"/>
    </xf>
    <xf numFmtId="49" fontId="30" fillId="0" borderId="19" xfId="45" applyFont="1" applyBorder="1" applyAlignment="1" applyProtection="1">
      <alignment horizontal="center" vertical="center" wrapText="1"/>
      <protection locked="0"/>
    </xf>
    <xf numFmtId="0" fontId="1" fillId="0" borderId="20" xfId="43" applyBorder="1" applyAlignment="1">
      <alignment vertical="center"/>
    </xf>
    <xf numFmtId="0" fontId="31" fillId="0" borderId="21" xfId="43" applyFont="1" applyBorder="1" applyAlignment="1" applyProtection="1">
      <alignment horizontal="left"/>
      <protection locked="0"/>
    </xf>
    <xf numFmtId="0" fontId="33" fillId="0" borderId="23" xfId="46" applyNumberFormat="1" applyFont="1" applyFill="1" applyBorder="1" applyAlignment="1">
      <alignment horizontal="left" vertical="center"/>
      <protection locked="0"/>
    </xf>
    <xf numFmtId="0" fontId="1" fillId="0" borderId="24" xfId="43" applyBorder="1"/>
    <xf numFmtId="0" fontId="1" fillId="0" borderId="0" xfId="43" applyAlignment="1">
      <alignment vertical="center"/>
    </xf>
    <xf numFmtId="166" fontId="28" fillId="0" borderId="0" xfId="47" applyNumberFormat="1" applyFont="1" applyFill="1" applyBorder="1">
      <alignment vertical="center"/>
    </xf>
    <xf numFmtId="49" fontId="30" fillId="0" borderId="0" xfId="45" applyFont="1" applyAlignment="1" applyProtection="1">
      <alignment horizontal="center" vertical="center" wrapText="1"/>
      <protection locked="0"/>
    </xf>
    <xf numFmtId="0" fontId="1" fillId="0" borderId="26" xfId="43" applyBorder="1" applyAlignment="1">
      <alignment vertical="center"/>
    </xf>
    <xf numFmtId="49" fontId="32" fillId="0" borderId="0" xfId="44" applyFont="1">
      <alignment horizontal="left" vertical="center" wrapText="1"/>
    </xf>
    <xf numFmtId="166" fontId="32" fillId="35" borderId="27" xfId="47" applyNumberFormat="1" applyFill="1" applyBorder="1">
      <alignment vertical="center"/>
    </xf>
    <xf numFmtId="0" fontId="1" fillId="0" borderId="28" xfId="43" applyBorder="1"/>
    <xf numFmtId="49" fontId="30" fillId="0" borderId="29" xfId="45" applyFont="1" applyBorder="1" applyAlignment="1" applyProtection="1">
      <alignment horizontal="center" vertical="center" wrapText="1"/>
      <protection locked="0"/>
    </xf>
    <xf numFmtId="49" fontId="30" fillId="0" borderId="30" xfId="45" applyFont="1" applyBorder="1" applyAlignment="1" applyProtection="1">
      <alignment horizontal="center" vertical="center" wrapText="1"/>
      <protection locked="0"/>
    </xf>
    <xf numFmtId="49" fontId="30" fillId="0" borderId="0" xfId="48" applyFont="1" applyFill="1" applyBorder="1" applyAlignment="1">
      <alignment horizontal="left" vertical="center" wrapText="1"/>
    </xf>
    <xf numFmtId="49" fontId="30" fillId="0" borderId="26" xfId="48" applyFont="1" applyFill="1" applyBorder="1" applyAlignment="1">
      <alignment horizontal="left" vertical="center" wrapText="1"/>
    </xf>
    <xf numFmtId="0" fontId="35" fillId="35" borderId="31" xfId="49" applyFont="1" applyFill="1" applyBorder="1" applyAlignment="1">
      <alignment horizontal="left" vertical="center" wrapText="1" indent="1"/>
    </xf>
    <xf numFmtId="0" fontId="35" fillId="35" borderId="32" xfId="49" applyFont="1" applyFill="1" applyBorder="1" applyAlignment="1">
      <alignment horizontal="left" vertical="center" wrapText="1" indent="1"/>
    </xf>
    <xf numFmtId="0" fontId="35" fillId="35" borderId="33" xfId="49" applyFont="1" applyFill="1" applyBorder="1" applyAlignment="1">
      <alignment horizontal="left" vertical="center" wrapText="1" indent="1"/>
    </xf>
    <xf numFmtId="49" fontId="30" fillId="0" borderId="0" xfId="50" applyFont="1" applyAlignment="1" applyProtection="1">
      <alignment horizontal="center" vertical="center" wrapText="1"/>
      <protection locked="0"/>
    </xf>
    <xf numFmtId="0" fontId="36" fillId="0" borderId="0" xfId="43" applyFont="1" applyAlignment="1">
      <alignment horizontal="left" vertical="center"/>
    </xf>
    <xf numFmtId="49" fontId="30" fillId="0" borderId="19" xfId="50" applyFont="1" applyBorder="1" applyAlignment="1" applyProtection="1">
      <alignment horizontal="center" vertical="center" wrapText="1"/>
      <protection locked="0"/>
    </xf>
    <xf numFmtId="166" fontId="28" fillId="35" borderId="27" xfId="47" applyNumberFormat="1" applyFont="1" applyFill="1" applyBorder="1">
      <alignment vertical="center"/>
    </xf>
    <xf numFmtId="0" fontId="32" fillId="0" borderId="0" xfId="44" applyNumberFormat="1" applyFont="1">
      <alignment horizontal="left" vertical="center" wrapText="1"/>
    </xf>
    <xf numFmtId="0" fontId="14" fillId="38" borderId="0" xfId="51" applyFill="1" applyBorder="1" applyProtection="1">
      <alignment horizontal="center" vertical="center" wrapText="1"/>
      <protection locked="0"/>
    </xf>
    <xf numFmtId="0" fontId="37" fillId="38" borderId="34" xfId="51" applyFont="1" applyFill="1" applyBorder="1" applyProtection="1">
      <alignment horizontal="center" vertical="center" wrapText="1"/>
      <protection locked="0"/>
    </xf>
    <xf numFmtId="1" fontId="32" fillId="0" borderId="35" xfId="52" applyNumberFormat="1" applyFont="1" applyFill="1" applyBorder="1" applyAlignment="1" applyProtection="1">
      <alignment horizontal="center" vertical="center"/>
      <protection locked="0"/>
    </xf>
    <xf numFmtId="0" fontId="39" fillId="0" borderId="0" xfId="43" applyFont="1" applyAlignment="1">
      <alignment horizontal="right" vertical="center" indent="1"/>
    </xf>
    <xf numFmtId="49" fontId="30" fillId="0" borderId="29" xfId="50" applyFont="1" applyBorder="1" applyAlignment="1" applyProtection="1">
      <alignment horizontal="center" vertical="center" wrapText="1"/>
      <protection locked="0"/>
    </xf>
    <xf numFmtId="49" fontId="30" fillId="0" borderId="30" xfId="50" applyFont="1" applyBorder="1" applyAlignment="1" applyProtection="1">
      <alignment horizontal="center" vertical="center" wrapText="1"/>
      <protection locked="0"/>
    </xf>
    <xf numFmtId="0" fontId="32" fillId="0" borderId="0" xfId="43" applyFont="1" applyAlignment="1">
      <alignment horizontal="left" indent="1"/>
    </xf>
    <xf numFmtId="0" fontId="1" fillId="0" borderId="36" xfId="43" applyBorder="1"/>
    <xf numFmtId="49" fontId="30" fillId="0" borderId="37" xfId="45" applyFont="1" applyBorder="1" applyAlignment="1" applyProtection="1">
      <alignment horizontal="center" vertical="center" wrapText="1"/>
      <protection locked="0"/>
    </xf>
    <xf numFmtId="0" fontId="1" fillId="0" borderId="37" xfId="43" applyBorder="1"/>
    <xf numFmtId="0" fontId="1" fillId="0" borderId="38" xfId="43" applyBorder="1" applyAlignment="1">
      <alignment vertical="center"/>
    </xf>
    <xf numFmtId="166" fontId="32" fillId="35" borderId="27" xfId="53" applyFill="1" applyBorder="1">
      <alignment vertical="center"/>
    </xf>
    <xf numFmtId="0" fontId="42" fillId="39" borderId="0" xfId="54" applyFill="1" applyBorder="1" applyProtection="1">
      <alignment horizontal="center" vertical="center" wrapText="1"/>
      <protection locked="0"/>
    </xf>
    <xf numFmtId="0" fontId="43" fillId="40" borderId="39" xfId="54" applyFont="1" applyFill="1" applyBorder="1" applyProtection="1">
      <alignment horizontal="center" vertical="center" wrapText="1"/>
      <protection locked="0"/>
    </xf>
    <xf numFmtId="0" fontId="36" fillId="0" borderId="0" xfId="43" applyFont="1" applyAlignment="1">
      <alignment horizontal="left" vertical="center" indent="1"/>
    </xf>
    <xf numFmtId="0" fontId="28" fillId="0" borderId="0" xfId="55">
      <alignment horizontal="center" vertical="center" wrapText="1"/>
    </xf>
    <xf numFmtId="0" fontId="1" fillId="0" borderId="26" xfId="43" applyBorder="1"/>
    <xf numFmtId="0" fontId="28" fillId="0" borderId="40" xfId="55" applyBorder="1" applyProtection="1">
      <alignment horizontal="center" vertical="center" wrapText="1"/>
      <protection locked="0"/>
    </xf>
    <xf numFmtId="0" fontId="28" fillId="0" borderId="41" xfId="55" applyBorder="1" applyProtection="1">
      <alignment horizontal="center" vertical="center" wrapText="1"/>
      <protection locked="0"/>
    </xf>
    <xf numFmtId="0" fontId="28" fillId="0" borderId="31" xfId="55" applyBorder="1">
      <alignment horizontal="center" vertical="center" wrapText="1"/>
    </xf>
    <xf numFmtId="0" fontId="28" fillId="0" borderId="32" xfId="55" applyBorder="1">
      <alignment horizontal="center" vertical="center" wrapText="1"/>
    </xf>
    <xf numFmtId="0" fontId="28" fillId="0" borderId="33" xfId="55" applyBorder="1">
      <alignment horizontal="center" vertical="center" wrapText="1"/>
    </xf>
    <xf numFmtId="0" fontId="32" fillId="0" borderId="0" xfId="43" applyFont="1"/>
    <xf numFmtId="0" fontId="32" fillId="0" borderId="24" xfId="43" applyFont="1" applyBorder="1"/>
    <xf numFmtId="0" fontId="28" fillId="0" borderId="26" xfId="55" applyBorder="1">
      <alignment horizontal="center" vertical="center" wrapText="1"/>
    </xf>
    <xf numFmtId="0" fontId="32" fillId="0" borderId="28" xfId="43" applyFont="1" applyBorder="1"/>
    <xf numFmtId="0" fontId="28" fillId="0" borderId="29" xfId="55" applyBorder="1">
      <alignment horizontal="center" vertical="center" wrapText="1"/>
    </xf>
    <xf numFmtId="0" fontId="28" fillId="0" borderId="30" xfId="55" applyBorder="1">
      <alignment horizontal="center" vertical="center" wrapText="1"/>
    </xf>
    <xf numFmtId="0" fontId="35" fillId="0" borderId="42" xfId="49" applyFont="1" applyFill="1" applyBorder="1" applyAlignment="1">
      <alignment horizontal="left" vertical="center" wrapText="1"/>
    </xf>
    <xf numFmtId="0" fontId="35" fillId="0" borderId="0" xfId="43" applyFont="1" applyAlignment="1">
      <alignment horizontal="center" vertical="center" wrapText="1"/>
    </xf>
    <xf numFmtId="0" fontId="45" fillId="0" borderId="0" xfId="56" applyFont="1" applyAlignment="1">
      <alignment horizontal="left" vertical="center" wrapText="1"/>
    </xf>
    <xf numFmtId="0" fontId="44" fillId="0" borderId="0" xfId="56" applyAlignment="1">
      <alignment horizontal="left" vertical="center" wrapText="1"/>
    </xf>
    <xf numFmtId="0" fontId="1" fillId="0" borderId="19" xfId="43" applyBorder="1"/>
    <xf numFmtId="0" fontId="49" fillId="0" borderId="19" xfId="57" applyBorder="1">
      <alignment vertical="center" wrapText="1"/>
      <protection locked="0"/>
    </xf>
    <xf numFmtId="164" fontId="50" fillId="0" borderId="25" xfId="58" applyFill="1" applyAlignment="1">
      <alignment horizontal="left" vertical="top" wrapText="1"/>
    </xf>
    <xf numFmtId="0" fontId="50" fillId="0" borderId="0" xfId="57" applyFont="1" applyAlignment="1" applyProtection="1"/>
    <xf numFmtId="0" fontId="39" fillId="35" borderId="31" xfId="43" applyFont="1" applyFill="1" applyBorder="1" applyAlignment="1">
      <alignment vertical="center"/>
    </xf>
    <xf numFmtId="0" fontId="39" fillId="35" borderId="33" xfId="43" applyFont="1" applyFill="1" applyBorder="1" applyAlignment="1">
      <alignment horizontal="right" vertical="center"/>
    </xf>
    <xf numFmtId="0" fontId="49" fillId="0" borderId="0" xfId="57" applyAlignment="1">
      <alignment vertical="center"/>
      <protection locked="0"/>
    </xf>
    <xf numFmtId="0" fontId="1" fillId="0" borderId="0" xfId="59"/>
    <xf numFmtId="0" fontId="17" fillId="0" borderId="0" xfId="43" applyFont="1"/>
    <xf numFmtId="0" fontId="35" fillId="0" borderId="0" xfId="43" applyFont="1" applyAlignment="1">
      <alignment horizontal="right"/>
    </xf>
    <xf numFmtId="0" fontId="17" fillId="0" borderId="0" xfId="43" applyFont="1" applyAlignment="1">
      <alignment horizontal="right"/>
    </xf>
    <xf numFmtId="0" fontId="51" fillId="38" borderId="0" xfId="42" applyFont="1" applyFill="1" applyAlignment="1">
      <alignment horizontal="center" vertical="center" wrapText="1"/>
    </xf>
    <xf numFmtId="0" fontId="25" fillId="0" borderId="15" xfId="0" applyFont="1" applyBorder="1" applyAlignment="1">
      <alignment horizontal="center"/>
    </xf>
    <xf numFmtId="0" fontId="25" fillId="0" borderId="16" xfId="0" applyFont="1" applyBorder="1" applyAlignment="1">
      <alignment horizontal="center"/>
    </xf>
    <xf numFmtId="0" fontId="25" fillId="0" borderId="17" xfId="0" applyFont="1" applyBorder="1" applyAlignment="1">
      <alignment horizontal="center"/>
    </xf>
    <xf numFmtId="0" fontId="0" fillId="34" borderId="0" xfId="0" applyFill="1" applyBorder="1"/>
    <xf numFmtId="0" fontId="26" fillId="34" borderId="0" xfId="42" applyFill="1" applyBorder="1"/>
    <xf numFmtId="0" fontId="0" fillId="41" borderId="0" xfId="0" applyFill="1" applyBorder="1"/>
    <xf numFmtId="10" fontId="1" fillId="0" borderId="0" xfId="59" applyNumberFormat="1"/>
    <xf numFmtId="0" fontId="32" fillId="36" borderId="25" xfId="60">
      <alignment horizontal="center" vertical="center" wrapText="1"/>
    </xf>
    <xf numFmtId="10" fontId="52" fillId="36" borderId="25" xfId="61">
      <alignment horizontal="center" vertical="center" wrapText="1"/>
    </xf>
    <xf numFmtId="0" fontId="53" fillId="0" borderId="0" xfId="59" applyFont="1" applyAlignment="1">
      <alignment horizontal="center"/>
    </xf>
    <xf numFmtId="14" fontId="1" fillId="0" borderId="0" xfId="59" applyNumberFormat="1"/>
    <xf numFmtId="14" fontId="53" fillId="0" borderId="0" xfId="59" applyNumberFormat="1" applyFont="1"/>
    <xf numFmtId="0" fontId="1" fillId="0" borderId="36" xfId="59" applyBorder="1"/>
    <xf numFmtId="0" fontId="1" fillId="0" borderId="37" xfId="59" applyBorder="1"/>
    <xf numFmtId="0" fontId="1" fillId="0" borderId="43" xfId="59" applyBorder="1"/>
    <xf numFmtId="0" fontId="1" fillId="0" borderId="21" xfId="59" applyBorder="1" applyAlignment="1" applyProtection="1">
      <alignment horizontal="left"/>
      <protection locked="0"/>
    </xf>
    <xf numFmtId="0" fontId="32" fillId="0" borderId="23" xfId="46" applyNumberFormat="1" applyFill="1" applyBorder="1" applyAlignment="1">
      <alignment horizontal="left" vertical="center"/>
      <protection locked="0"/>
    </xf>
    <xf numFmtId="0" fontId="1" fillId="0" borderId="24" xfId="59" applyBorder="1"/>
    <xf numFmtId="167" fontId="54" fillId="0" borderId="0" xfId="59" applyNumberFormat="1" applyFont="1"/>
    <xf numFmtId="1" fontId="32" fillId="35" borderId="27" xfId="62" applyFill="1" applyBorder="1">
      <alignment horizontal="center" vertical="center" wrapText="1"/>
    </xf>
    <xf numFmtId="14" fontId="32" fillId="35" borderId="27" xfId="63" applyFill="1" applyBorder="1">
      <alignment horizontal="center" vertical="center" wrapText="1"/>
    </xf>
    <xf numFmtId="0" fontId="1" fillId="0" borderId="44" xfId="59" applyBorder="1"/>
    <xf numFmtId="167" fontId="1" fillId="0" borderId="24" xfId="59" applyNumberFormat="1" applyBorder="1"/>
    <xf numFmtId="0" fontId="32" fillId="36" borderId="0" xfId="64" applyBorder="1">
      <alignment horizontal="left" vertical="center" wrapText="1"/>
    </xf>
    <xf numFmtId="0" fontId="32" fillId="36" borderId="22" xfId="64" applyBorder="1">
      <alignment horizontal="left" vertical="center" wrapText="1"/>
    </xf>
    <xf numFmtId="0" fontId="3" fillId="0" borderId="0" xfId="1" applyBorder="1" applyAlignment="1">
      <alignment horizontal="center" vertical="center" wrapText="1"/>
    </xf>
    <xf numFmtId="0" fontId="28" fillId="0" borderId="21" xfId="55" applyBorder="1">
      <alignment horizontal="center" vertical="center" wrapText="1"/>
    </xf>
    <xf numFmtId="0" fontId="28" fillId="0" borderId="45" xfId="55" applyBorder="1">
      <alignment horizontal="center" vertical="center" wrapText="1"/>
    </xf>
    <xf numFmtId="0" fontId="28" fillId="0" borderId="45" xfId="55" applyBorder="1">
      <alignment horizontal="center" vertical="center" wrapText="1"/>
    </xf>
    <xf numFmtId="0" fontId="28" fillId="0" borderId="23" xfId="55" applyBorder="1">
      <alignment horizontal="center" vertical="center" wrapText="1"/>
    </xf>
    <xf numFmtId="168" fontId="1" fillId="0" borderId="24" xfId="59" applyNumberFormat="1" applyBorder="1"/>
    <xf numFmtId="49" fontId="56" fillId="0" borderId="0" xfId="65" applyFont="1">
      <alignment vertical="center" wrapText="1"/>
    </xf>
    <xf numFmtId="49" fontId="44" fillId="0" borderId="0" xfId="65" applyFont="1">
      <alignment vertical="center" wrapText="1"/>
    </xf>
    <xf numFmtId="168" fontId="1" fillId="0" borderId="46" xfId="59" applyNumberFormat="1" applyBorder="1"/>
    <xf numFmtId="49" fontId="29" fillId="0" borderId="47" xfId="45" applyBorder="1">
      <alignment vertical="center" wrapText="1"/>
    </xf>
    <xf numFmtId="0" fontId="1" fillId="0" borderId="47" xfId="59" applyBorder="1" applyAlignment="1">
      <alignment vertical="center" wrapText="1"/>
    </xf>
    <xf numFmtId="0" fontId="1" fillId="0" borderId="48" xfId="59" applyBorder="1" applyAlignment="1">
      <alignment vertical="center" wrapText="1"/>
    </xf>
    <xf numFmtId="168" fontId="1" fillId="0" borderId="0" xfId="59" applyNumberFormat="1"/>
    <xf numFmtId="49" fontId="29" fillId="0" borderId="0" xfId="45">
      <alignment vertical="center" wrapText="1"/>
    </xf>
    <xf numFmtId="0" fontId="57" fillId="35" borderId="40" xfId="49" applyFont="1" applyFill="1" applyBorder="1" applyAlignment="1">
      <alignment horizontal="left" vertical="center" wrapText="1" indent="1"/>
    </xf>
    <xf numFmtId="0" fontId="57" fillId="35" borderId="49" xfId="49" applyFont="1" applyFill="1" applyBorder="1" applyAlignment="1">
      <alignment horizontal="left" vertical="center" wrapText="1" indent="1"/>
    </xf>
    <xf numFmtId="0" fontId="57" fillId="35" borderId="41" xfId="49" applyFont="1" applyFill="1" applyBorder="1" applyAlignment="1">
      <alignment horizontal="left" vertical="center" wrapText="1" indent="1"/>
    </xf>
    <xf numFmtId="0" fontId="57" fillId="35" borderId="23" xfId="49" applyFont="1" applyFill="1" applyBorder="1" applyAlignment="1">
      <alignment horizontal="center" vertical="center" wrapText="1"/>
    </xf>
    <xf numFmtId="167" fontId="1" fillId="0" borderId="0" xfId="59" applyNumberFormat="1"/>
    <xf numFmtId="165" fontId="32" fillId="35" borderId="27" xfId="47" applyFill="1" applyBorder="1">
      <alignment vertical="center"/>
    </xf>
    <xf numFmtId="167" fontId="1" fillId="0" borderId="0" xfId="59" applyNumberFormat="1" applyAlignment="1">
      <alignment horizontal="center" vertical="center"/>
    </xf>
    <xf numFmtId="14" fontId="32" fillId="0" borderId="0" xfId="66">
      <alignment horizontal="center" vertical="center" wrapText="1"/>
    </xf>
    <xf numFmtId="166" fontId="32" fillId="0" borderId="27" xfId="67" applyFill="1" applyBorder="1">
      <alignment vertical="center"/>
      <protection locked="0"/>
    </xf>
    <xf numFmtId="14" fontId="32" fillId="0" borderId="27" xfId="68" applyFill="1" applyBorder="1">
      <alignment horizontal="center" vertical="center"/>
      <protection locked="0"/>
    </xf>
    <xf numFmtId="166" fontId="32" fillId="35" borderId="50" xfId="53" applyFill="1" applyBorder="1">
      <alignment vertical="center"/>
    </xf>
    <xf numFmtId="49" fontId="28" fillId="0" borderId="0" xfId="69" applyAlignment="1">
      <alignment horizontal="right" vertical="center" wrapText="1" indent="1"/>
    </xf>
    <xf numFmtId="0" fontId="28" fillId="0" borderId="23" xfId="55" applyBorder="1">
      <alignment horizontal="center" vertical="center" wrapText="1"/>
    </xf>
    <xf numFmtId="49" fontId="45" fillId="0" borderId="0" xfId="45" applyFont="1">
      <alignment vertical="center" wrapText="1"/>
    </xf>
    <xf numFmtId="49" fontId="56" fillId="0" borderId="0" xfId="45" applyFont="1">
      <alignment vertical="center" wrapText="1"/>
    </xf>
    <xf numFmtId="49" fontId="44" fillId="0" borderId="0" xfId="45" applyFont="1">
      <alignment vertical="center" wrapText="1"/>
    </xf>
    <xf numFmtId="0" fontId="1" fillId="0" borderId="46" xfId="59" applyBorder="1"/>
    <xf numFmtId="0" fontId="1" fillId="0" borderId="47" xfId="59" applyBorder="1"/>
    <xf numFmtId="0" fontId="1" fillId="0" borderId="48" xfId="59" applyBorder="1"/>
    <xf numFmtId="0" fontId="59" fillId="0" borderId="0" xfId="59" applyFont="1" applyAlignment="1">
      <alignment vertical="top" wrapText="1"/>
    </xf>
    <xf numFmtId="0" fontId="1" fillId="0" borderId="51" xfId="59" applyBorder="1"/>
    <xf numFmtId="0" fontId="1" fillId="0" borderId="52" xfId="59" applyBorder="1"/>
    <xf numFmtId="0" fontId="60" fillId="0" borderId="52" xfId="59" applyFont="1" applyBorder="1" applyAlignment="1">
      <alignment horizontal="center"/>
    </xf>
    <xf numFmtId="0" fontId="1" fillId="0" borderId="53" xfId="59" applyBorder="1"/>
    <xf numFmtId="0" fontId="61" fillId="0" borderId="0" xfId="70" applyFont="1" applyAlignment="1">
      <alignment horizontal="center" vertical="center" wrapText="1"/>
    </xf>
    <xf numFmtId="0" fontId="61" fillId="0" borderId="0" xfId="70" quotePrefix="1" applyFont="1" applyAlignment="1">
      <alignment horizontal="center" vertical="center" wrapText="1"/>
    </xf>
    <xf numFmtId="169" fontId="62" fillId="42" borderId="35" xfId="71" applyNumberFormat="1" applyFont="1" applyFill="1" applyBorder="1" applyAlignment="1" applyProtection="1">
      <alignment vertical="center"/>
    </xf>
    <xf numFmtId="0" fontId="28" fillId="0" borderId="0" xfId="72" applyAlignment="1">
      <alignment horizontal="left" vertical="center"/>
    </xf>
    <xf numFmtId="0" fontId="28" fillId="0" borderId="0" xfId="72" applyAlignment="1">
      <alignment horizontal="left" vertical="center"/>
    </xf>
    <xf numFmtId="169" fontId="63" fillId="0" borderId="35" xfId="71" applyNumberFormat="1" applyFont="1" applyFill="1" applyBorder="1" applyAlignment="1" applyProtection="1">
      <alignment vertical="center"/>
      <protection locked="0"/>
    </xf>
    <xf numFmtId="169" fontId="63" fillId="43" borderId="35" xfId="71" applyNumberFormat="1" applyFont="1" applyFill="1" applyBorder="1" applyAlignment="1" applyProtection="1">
      <alignment vertical="center"/>
    </xf>
    <xf numFmtId="0" fontId="1" fillId="0" borderId="0" xfId="59" applyAlignment="1" applyProtection="1">
      <alignment horizontal="left"/>
      <protection locked="0"/>
    </xf>
    <xf numFmtId="0" fontId="32" fillId="0" borderId="0" xfId="46" applyNumberFormat="1" applyFill="1" applyBorder="1" applyAlignment="1">
      <alignment horizontal="left" vertical="center"/>
      <protection locked="0"/>
    </xf>
    <xf numFmtId="0" fontId="27" fillId="0" borderId="0" xfId="59" applyFont="1"/>
    <xf numFmtId="0" fontId="32" fillId="0" borderId="0" xfId="72" applyFont="1" applyAlignment="1">
      <alignment horizontal="left" vertical="center"/>
    </xf>
    <xf numFmtId="0" fontId="61" fillId="0" borderId="0" xfId="70" applyFont="1" applyAlignment="1">
      <alignment horizontal="center" vertical="center" wrapText="1"/>
    </xf>
    <xf numFmtId="0" fontId="61" fillId="0" borderId="26" xfId="70" quotePrefix="1" applyFont="1" applyBorder="1" applyAlignment="1">
      <alignment horizontal="center" vertical="center" wrapText="1"/>
    </xf>
    <xf numFmtId="0" fontId="28" fillId="0" borderId="24" xfId="72" applyBorder="1" applyAlignment="1">
      <alignment horizontal="left" vertical="center"/>
    </xf>
    <xf numFmtId="0" fontId="1" fillId="0" borderId="45" xfId="59" applyBorder="1" applyAlignment="1" applyProtection="1">
      <alignment horizontal="left"/>
      <protection locked="0"/>
    </xf>
    <xf numFmtId="0" fontId="32" fillId="0" borderId="45" xfId="46" applyNumberFormat="1" applyFill="1" applyBorder="1" applyAlignment="1">
      <alignment horizontal="left" vertical="center"/>
      <protection locked="0"/>
    </xf>
    <xf numFmtId="0" fontId="64" fillId="0" borderId="0" xfId="70" applyFont="1" applyAlignment="1">
      <alignment horizontal="center" vertical="center" wrapText="1"/>
    </xf>
    <xf numFmtId="0" fontId="64" fillId="0" borderId="45" xfId="70" applyFont="1" applyBorder="1" applyAlignment="1">
      <alignment horizontal="center" vertical="center" wrapText="1"/>
    </xf>
    <xf numFmtId="0" fontId="28" fillId="0" borderId="0" xfId="70" applyAlignment="1">
      <alignment horizontal="center" vertical="center" wrapText="1"/>
    </xf>
    <xf numFmtId="0" fontId="28" fillId="0" borderId="26" xfId="70" applyBorder="1" applyAlignment="1">
      <alignment horizontal="center" vertical="center" wrapText="1"/>
    </xf>
    <xf numFmtId="0" fontId="60" fillId="0" borderId="0" xfId="59" applyFont="1" applyAlignment="1">
      <alignment horizontal="center" wrapText="1"/>
    </xf>
    <xf numFmtId="0" fontId="60" fillId="0" borderId="26" xfId="59" applyFont="1" applyBorder="1" applyAlignment="1">
      <alignment horizontal="center" wrapText="1"/>
    </xf>
    <xf numFmtId="10" fontId="32" fillId="35" borderId="27" xfId="61" applyFont="1" applyFill="1" applyBorder="1">
      <alignment horizontal="center" vertical="center" wrapText="1"/>
    </xf>
    <xf numFmtId="14" fontId="32" fillId="0" borderId="54" xfId="67" applyNumberFormat="1" applyFill="1" applyBorder="1" applyAlignment="1">
      <alignment horizontal="center" vertical="center"/>
      <protection locked="0"/>
    </xf>
    <xf numFmtId="0" fontId="32" fillId="0" borderId="24" xfId="72" applyFont="1" applyBorder="1" applyAlignment="1">
      <alignment vertical="center" wrapText="1"/>
    </xf>
    <xf numFmtId="0" fontId="18" fillId="0" borderId="0" xfId="59" applyFont="1"/>
    <xf numFmtId="166" fontId="32" fillId="0" borderId="55" xfId="67" applyFill="1" applyBorder="1">
      <alignment vertical="center"/>
      <protection locked="0"/>
    </xf>
    <xf numFmtId="0" fontId="1" fillId="0" borderId="0" xfId="59" applyAlignment="1">
      <alignment horizontal="center"/>
    </xf>
    <xf numFmtId="0" fontId="32" fillId="35" borderId="50" xfId="73" applyBorder="1" applyProtection="1">
      <alignment horizontal="center" vertical="center" wrapText="1"/>
    </xf>
    <xf numFmtId="0" fontId="28" fillId="0" borderId="0" xfId="70">
      <alignment horizontal="left" vertical="center" wrapText="1"/>
    </xf>
    <xf numFmtId="0" fontId="32" fillId="0" borderId="27" xfId="73" applyFill="1" applyBorder="1">
      <alignment horizontal="center" vertical="center" wrapText="1"/>
      <protection locked="0"/>
    </xf>
    <xf numFmtId="0" fontId="32" fillId="35" borderId="27" xfId="73" applyBorder="1" applyProtection="1">
      <alignment horizontal="center" vertical="center" wrapText="1"/>
    </xf>
    <xf numFmtId="0" fontId="1" fillId="0" borderId="0" xfId="59" applyAlignment="1">
      <alignment vertical="top" wrapText="1"/>
    </xf>
    <xf numFmtId="0" fontId="1" fillId="0" borderId="24" xfId="59" applyBorder="1"/>
    <xf numFmtId="0" fontId="28" fillId="0" borderId="0" xfId="70">
      <alignment horizontal="left" vertical="center" wrapText="1"/>
    </xf>
    <xf numFmtId="0" fontId="32" fillId="0" borderId="56" xfId="74" applyFill="1" applyBorder="1">
      <alignment vertical="center" wrapText="1"/>
      <protection locked="0"/>
    </xf>
    <xf numFmtId="0" fontId="32" fillId="0" borderId="57" xfId="74" applyFill="1" applyBorder="1">
      <alignment vertical="center" wrapText="1"/>
      <protection locked="0"/>
    </xf>
    <xf numFmtId="0" fontId="32" fillId="0" borderId="58" xfId="74" applyFill="1" applyBorder="1">
      <alignment vertical="center" wrapText="1"/>
      <protection locked="0"/>
    </xf>
    <xf numFmtId="49" fontId="63" fillId="0" borderId="0" xfId="45" applyFont="1">
      <alignment vertical="center" wrapText="1"/>
    </xf>
    <xf numFmtId="0" fontId="1" fillId="0" borderId="59" xfId="59" applyBorder="1"/>
    <xf numFmtId="0" fontId="1" fillId="0" borderId="60" xfId="59" applyBorder="1"/>
    <xf numFmtId="0" fontId="1" fillId="0" borderId="61" xfId="59" applyBorder="1"/>
    <xf numFmtId="0" fontId="28" fillId="0" borderId="40" xfId="55" applyBorder="1">
      <alignment horizontal="center" vertical="center" wrapText="1"/>
    </xf>
    <xf numFmtId="0" fontId="28" fillId="0" borderId="41" xfId="55" applyBorder="1">
      <alignment horizontal="center" vertical="center" wrapText="1"/>
    </xf>
    <xf numFmtId="0" fontId="64" fillId="35" borderId="62" xfId="75" applyFill="1" applyBorder="1" applyAlignment="1">
      <alignment horizontal="left" vertical="center" wrapText="1" indent="1"/>
    </xf>
    <xf numFmtId="0" fontId="64" fillId="35" borderId="60" xfId="75" applyFill="1" applyBorder="1" applyAlignment="1">
      <alignment horizontal="left" vertical="center" wrapText="1" indent="1"/>
    </xf>
    <xf numFmtId="0" fontId="64" fillId="35" borderId="63" xfId="75" applyFill="1" applyBorder="1" applyAlignment="1">
      <alignment horizontal="left" vertical="center" wrapText="1" indent="1"/>
    </xf>
    <xf numFmtId="10" fontId="66" fillId="0" borderId="37" xfId="59" applyNumberFormat="1" applyFont="1" applyBorder="1" applyAlignment="1">
      <alignment horizontal="center"/>
    </xf>
    <xf numFmtId="0" fontId="1" fillId="0" borderId="37" xfId="59" applyBorder="1" applyAlignment="1">
      <alignment horizontal="center"/>
    </xf>
    <xf numFmtId="14" fontId="67" fillId="0" borderId="37" xfId="59" applyNumberFormat="1" applyFont="1" applyBorder="1"/>
    <xf numFmtId="10" fontId="28" fillId="0" borderId="0" xfId="76" applyBorder="1">
      <alignment horizontal="center" vertical="center"/>
    </xf>
    <xf numFmtId="0" fontId="32" fillId="0" borderId="0" xfId="77">
      <alignment horizontal="center" vertical="center" wrapText="1"/>
    </xf>
    <xf numFmtId="10" fontId="28" fillId="0" borderId="25" xfId="76">
      <alignment horizontal="center" vertical="center"/>
    </xf>
    <xf numFmtId="0" fontId="68" fillId="0" borderId="0" xfId="59" applyFont="1" applyAlignment="1">
      <alignment vertical="top" wrapText="1"/>
    </xf>
    <xf numFmtId="0" fontId="69" fillId="0" borderId="0" xfId="59" applyFont="1" applyAlignment="1">
      <alignment vertical="top" wrapText="1"/>
    </xf>
    <xf numFmtId="0" fontId="70" fillId="0" borderId="22" xfId="49" applyFont="1" applyBorder="1" applyAlignment="1">
      <alignment horizontal="left" vertical="center" wrapText="1"/>
    </xf>
    <xf numFmtId="0" fontId="71" fillId="0" borderId="0" xfId="59" applyFont="1"/>
    <xf numFmtId="0" fontId="72" fillId="0" borderId="0" xfId="56" applyFont="1" applyAlignment="1">
      <alignment horizontal="left" vertical="center" wrapText="1"/>
    </xf>
    <xf numFmtId="0" fontId="35" fillId="35" borderId="27" xfId="49" applyFont="1" applyFill="1" applyBorder="1" applyAlignment="1">
      <alignment horizontal="center" vertical="center" wrapText="1"/>
    </xf>
    <xf numFmtId="0" fontId="1" fillId="0" borderId="19" xfId="59" applyBorder="1"/>
    <xf numFmtId="0" fontId="14" fillId="0" borderId="27" xfId="51" applyFill="1" applyBorder="1" applyProtection="1">
      <alignment horizontal="center" vertical="center" wrapText="1"/>
      <protection locked="0"/>
    </xf>
    <xf numFmtId="0" fontId="28" fillId="0" borderId="27" xfId="80" applyFill="1" applyBorder="1">
      <alignment horizontal="center" vertical="center" wrapText="1"/>
      <protection locked="0"/>
    </xf>
    <xf numFmtId="0" fontId="49" fillId="0" borderId="0" xfId="57">
      <alignment vertical="center" wrapText="1"/>
      <protection locked="0"/>
    </xf>
    <xf numFmtId="164" fontId="40" fillId="0" borderId="0" xfId="58" applyFont="1" applyFill="1" applyBorder="1" applyAlignment="1">
      <alignment horizontal="left" vertical="top"/>
    </xf>
    <xf numFmtId="0" fontId="28" fillId="0" borderId="0" xfId="80" applyFill="1" applyBorder="1">
      <alignment horizontal="center" vertical="center" wrapText="1"/>
      <protection locked="0"/>
    </xf>
    <xf numFmtId="0" fontId="14" fillId="38" borderId="0" xfId="49" applyFont="1" applyFill="1" applyBorder="1" applyAlignment="1" applyProtection="1">
      <alignment horizontal="center" vertical="center" wrapText="1"/>
      <protection locked="0"/>
    </xf>
    <xf numFmtId="0" fontId="37" fillId="38" borderId="34" xfId="49" applyFont="1" applyFill="1" applyBorder="1" applyAlignment="1" applyProtection="1">
      <alignment horizontal="center" vertical="center" wrapText="1"/>
      <protection locked="0"/>
    </xf>
    <xf numFmtId="0" fontId="18" fillId="0" borderId="0" xfId="81" applyFont="1"/>
    <xf numFmtId="0" fontId="14" fillId="46" borderId="0" xfId="49" applyFont="1" applyFill="1" applyAlignment="1">
      <alignment horizontal="center" vertical="center" wrapText="1"/>
    </xf>
    <xf numFmtId="164" fontId="50" fillId="0" borderId="0" xfId="58" applyFill="1" applyBorder="1">
      <alignment horizontal="left" vertical="center" wrapText="1"/>
    </xf>
    <xf numFmtId="164" fontId="50" fillId="0" borderId="34" xfId="58" applyFill="1" applyBorder="1">
      <alignment horizontal="left" vertical="center" wrapText="1"/>
    </xf>
    <xf numFmtId="0" fontId="40" fillId="0" borderId="0" xfId="51" applyFont="1" applyFill="1" applyBorder="1" applyAlignment="1" applyProtection="1">
      <alignment horizontal="right"/>
    </xf>
    <xf numFmtId="0" fontId="73" fillId="0" borderId="0" xfId="82" applyFont="1" applyFill="1" applyBorder="1" applyAlignment="1">
      <alignment horizontal="left"/>
    </xf>
    <xf numFmtId="0" fontId="39" fillId="35" borderId="31" xfId="59" applyFont="1" applyFill="1" applyBorder="1" applyAlignment="1">
      <alignment horizontal="left" vertical="center"/>
    </xf>
    <xf numFmtId="0" fontId="39" fillId="35" borderId="33" xfId="59" applyFont="1" applyFill="1" applyBorder="1" applyAlignment="1">
      <alignment horizontal="right" vertical="center"/>
    </xf>
    <xf numFmtId="0" fontId="49" fillId="0" borderId="0" xfId="57">
      <alignment vertical="center" wrapText="1"/>
      <protection locked="0"/>
    </xf>
    <xf numFmtId="0" fontId="27" fillId="0" borderId="0" xfId="59" applyFont="1" applyAlignment="1">
      <alignment vertical="center"/>
    </xf>
    <xf numFmtId="0" fontId="39" fillId="0" borderId="0" xfId="59" applyFont="1" applyAlignment="1">
      <alignment vertical="center"/>
    </xf>
    <xf numFmtId="0" fontId="74" fillId="0" borderId="0" xfId="59" applyFont="1" applyAlignment="1">
      <alignment vertical="center"/>
    </xf>
    <xf numFmtId="0" fontId="28" fillId="0" borderId="0" xfId="57" applyFont="1">
      <alignment vertical="center" wrapText="1"/>
      <protection locked="0"/>
    </xf>
    <xf numFmtId="0" fontId="14" fillId="38" borderId="25" xfId="51" applyFill="1">
      <alignment horizontal="center" vertical="center" wrapText="1"/>
    </xf>
    <xf numFmtId="0" fontId="51" fillId="38" borderId="64" xfId="42" applyFont="1" applyFill="1" applyBorder="1" applyAlignment="1">
      <alignment horizontal="center" vertical="center" wrapText="1"/>
    </xf>
    <xf numFmtId="0" fontId="75" fillId="0" borderId="0" xfId="59" applyFont="1"/>
    <xf numFmtId="0" fontId="1" fillId="0" borderId="18" xfId="59" applyBorder="1"/>
    <xf numFmtId="10" fontId="76" fillId="0" borderId="19" xfId="59" applyNumberFormat="1" applyFont="1" applyBorder="1" applyAlignment="1">
      <alignment horizontal="left"/>
    </xf>
    <xf numFmtId="0" fontId="76" fillId="0" borderId="19" xfId="59" applyFont="1" applyBorder="1"/>
    <xf numFmtId="0" fontId="75" fillId="0" borderId="19" xfId="59" applyFont="1" applyBorder="1"/>
    <xf numFmtId="0" fontId="1" fillId="0" borderId="20" xfId="59" applyBorder="1"/>
    <xf numFmtId="0" fontId="32" fillId="0" borderId="0" xfId="83" applyAlignment="1">
      <alignment horizontal="left" vertical="top" wrapText="1"/>
    </xf>
    <xf numFmtId="0" fontId="32" fillId="0" borderId="0" xfId="83" applyAlignment="1">
      <alignment horizontal="left" vertical="top" wrapText="1"/>
    </xf>
    <xf numFmtId="0" fontId="1" fillId="0" borderId="26" xfId="59" applyBorder="1"/>
    <xf numFmtId="0" fontId="32" fillId="0" borderId="0" xfId="83">
      <alignment horizontal="left" vertical="center" wrapText="1"/>
    </xf>
    <xf numFmtId="0" fontId="32" fillId="0" borderId="0" xfId="83">
      <alignment horizontal="left" vertical="center" wrapText="1"/>
    </xf>
    <xf numFmtId="0" fontId="77" fillId="0" borderId="0" xfId="59" applyFont="1"/>
    <xf numFmtId="0" fontId="28" fillId="0" borderId="0" xfId="72">
      <alignment horizontal="left" vertical="center" wrapText="1"/>
    </xf>
    <xf numFmtId="0" fontId="28" fillId="0" borderId="0" xfId="72">
      <alignment horizontal="left" vertical="center" wrapText="1"/>
    </xf>
    <xf numFmtId="0" fontId="1" fillId="0" borderId="0" xfId="59" applyAlignment="1">
      <alignment horizontal="left" vertical="center" wrapText="1"/>
    </xf>
    <xf numFmtId="0" fontId="76" fillId="0" borderId="0" xfId="59" applyFont="1"/>
    <xf numFmtId="0" fontId="76" fillId="0" borderId="24" xfId="59" applyFont="1" applyBorder="1"/>
    <xf numFmtId="0" fontId="76" fillId="0" borderId="26" xfId="59" applyFont="1" applyBorder="1"/>
    <xf numFmtId="0" fontId="1" fillId="0" borderId="28" xfId="59" applyBorder="1"/>
    <xf numFmtId="0" fontId="1" fillId="0" borderId="29" xfId="59" applyBorder="1"/>
    <xf numFmtId="0" fontId="1" fillId="0" borderId="65" xfId="59" applyBorder="1"/>
    <xf numFmtId="0" fontId="57" fillId="35" borderId="55" xfId="49" applyFont="1" applyFill="1" applyBorder="1" applyAlignment="1">
      <alignment horizontal="left" vertical="center" wrapText="1" indent="1"/>
    </xf>
    <xf numFmtId="0" fontId="28" fillId="0" borderId="19" xfId="72" applyBorder="1">
      <alignment horizontal="left" vertical="center" wrapText="1"/>
    </xf>
    <xf numFmtId="0" fontId="31" fillId="0" borderId="21" xfId="59" applyFont="1" applyBorder="1" applyAlignment="1" applyProtection="1">
      <alignment horizontal="left"/>
      <protection locked="0"/>
    </xf>
    <xf numFmtId="4" fontId="1" fillId="0" borderId="24" xfId="59" applyNumberFormat="1" applyBorder="1"/>
    <xf numFmtId="49" fontId="28" fillId="0" borderId="0" xfId="69">
      <alignment horizontal="center" vertical="center" wrapText="1"/>
    </xf>
    <xf numFmtId="0" fontId="76" fillId="0" borderId="0" xfId="59" applyFont="1" applyAlignment="1">
      <alignment horizontal="left"/>
    </xf>
    <xf numFmtId="0" fontId="78" fillId="0" borderId="0" xfId="56" applyFont="1" applyAlignment="1">
      <alignment horizontal="left" vertical="top" wrapText="1"/>
    </xf>
    <xf numFmtId="0" fontId="80" fillId="0" borderId="0" xfId="56" applyFont="1" applyAlignment="1">
      <alignment horizontal="left" wrapText="1"/>
    </xf>
    <xf numFmtId="0" fontId="81" fillId="0" borderId="0" xfId="56" applyFont="1" applyAlignment="1">
      <alignment horizontal="left" vertical="center" wrapText="1"/>
    </xf>
    <xf numFmtId="164" fontId="50" fillId="0" borderId="25" xfId="58" applyFill="1">
      <alignment horizontal="left" vertical="center" wrapText="1"/>
    </xf>
    <xf numFmtId="0" fontId="83" fillId="0" borderId="0" xfId="82" applyFont="1" applyFill="1" applyBorder="1" applyAlignment="1">
      <alignment horizontal="left"/>
    </xf>
    <xf numFmtId="0" fontId="17" fillId="0" borderId="0" xfId="59" applyFont="1"/>
    <xf numFmtId="0" fontId="35" fillId="0" borderId="0" xfId="59" applyFont="1" applyAlignment="1">
      <alignment horizontal="right"/>
    </xf>
    <xf numFmtId="0" fontId="17" fillId="0" borderId="0" xfId="59" applyFont="1" applyAlignment="1">
      <alignment horizontal="right"/>
    </xf>
    <xf numFmtId="0" fontId="51" fillId="38" borderId="25" xfId="42" applyFont="1" applyFill="1" applyBorder="1" applyAlignment="1">
      <alignment horizontal="center" vertical="center" wrapText="1"/>
    </xf>
  </cellXfs>
  <cellStyles count="8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lank % Bold" xfId="76" xr:uid="{46E46E3D-39C9-4321-BA47-31C09E5A3FB4}"/>
    <cellStyle name="Blank Bold" xfId="70" xr:uid="{B9BC9F2C-C358-4B30-8DA3-F6617E2F9117}"/>
    <cellStyle name="Blank Date" xfId="66" xr:uid="{AB5AF8BB-B921-44D1-8D91-762FB830D666}"/>
    <cellStyle name="Calculation" xfId="11" builtinId="22" customBuiltin="1"/>
    <cellStyle name="Check Cell" xfId="13" builtinId="23" customBuiltin="1"/>
    <cellStyle name="Comma 2" xfId="71" xr:uid="{008A7870-1581-4381-8A9D-BC82E5D0260B}"/>
    <cellStyle name="Comma 4" xfId="52" xr:uid="{E630B842-993B-4B5E-9858-A65BFA8BE854}"/>
    <cellStyle name="DataField" xfId="74" xr:uid="{FAD73AEB-1B7A-45F4-BFF3-AFCD112BEB51}"/>
    <cellStyle name="DataField Center" xfId="73" xr:uid="{8D436124-C3C0-4179-A01E-5464F379AA7E}"/>
    <cellStyle name="DataField Center Bold" xfId="80" xr:uid="{9BB9E5DC-5A5F-4E1C-BE91-F5A5F5091158}"/>
    <cellStyle name="DataField Date" xfId="68" xr:uid="{796298ED-6DDE-4C4C-ACC2-FF4F63E30017}"/>
    <cellStyle name="DataField$" xfId="67" xr:uid="{590C9785-74A5-4F9B-88D6-046008C8C6C1}"/>
    <cellStyle name="Explanatory Text" xfId="16" builtinId="53" customBuiltin="1"/>
    <cellStyle name="Formula" xfId="60" xr:uid="{17A8D883-0A95-4993-A80E-BFC3C018BE22}"/>
    <cellStyle name="Formula #" xfId="62" xr:uid="{0AAB8ED2-763A-4AA4-ACE2-B6261AB84E38}"/>
    <cellStyle name="Formula Date" xfId="63" xr:uid="{C5D101BC-8FA3-4A35-AE3B-AE41EB1018FB}"/>
    <cellStyle name="Formula Text" xfId="64" xr:uid="{DB0286BA-4F6B-47D3-850B-25D633729B54}"/>
    <cellStyle name="Formula$" xfId="53" xr:uid="{7A8CEAEB-1DA7-426A-95D8-CF2E9012B9E2}"/>
    <cellStyle name="Formula% 2" xfId="61" xr:uid="{3AD16C4F-CCB6-4C32-AAC0-A1DAE336F3A3}"/>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9" xr:uid="{2F9EA4B6-60A0-4131-BDA7-476DFD0DFA96}"/>
    <cellStyle name="Hyperlinks" xfId="54" xr:uid="{AA086695-1D20-4127-8B44-B514665024C7}"/>
    <cellStyle name="Index" xfId="51" xr:uid="{26C52923-C3E3-4775-84FF-A53BEA3ACAC9}"/>
    <cellStyle name="Index Information" xfId="48" xr:uid="{A25CB181-B046-4C69-AD2B-EE89B09907EB}"/>
    <cellStyle name="Information" xfId="45" xr:uid="{51EF8ADE-A364-4B5C-A15A-BBA5ADA4AB16}"/>
    <cellStyle name="Information 3" xfId="50" xr:uid="{BBB65B96-8875-4B2A-B0A6-D8DFCC9A0676}"/>
    <cellStyle name="Information Bold" xfId="65" xr:uid="{8E49E839-FC0A-42E0-AA10-D507B5B6F245}"/>
    <cellStyle name="Input" xfId="9" builtinId="20" customBuiltin="1"/>
    <cellStyle name="Linked Cell" xfId="12" builtinId="24" customBuiltin="1"/>
    <cellStyle name="Neutral" xfId="8" builtinId="28" customBuiltin="1"/>
    <cellStyle name="Normal" xfId="0" builtinId="0" customBuiltin="1"/>
    <cellStyle name="Normal 12" xfId="59" xr:uid="{8F8C949C-F3FF-4597-83CF-69633BA7297F}"/>
    <cellStyle name="Normal 2" xfId="43" xr:uid="{6F0FE058-3A94-42D4-99E4-38552C539F93}"/>
    <cellStyle name="Normal 23" xfId="81" xr:uid="{7E0F390E-09D8-4DE6-BD91-C2FF533EFEE6}"/>
    <cellStyle name="Note" xfId="15" builtinId="10" customBuiltin="1"/>
    <cellStyle name="Notes" xfId="46" xr:uid="{D3F69092-D897-4301-A2E8-EB046974FC7D}"/>
    <cellStyle name="Output" xfId="10" builtinId="21" customBuiltin="1"/>
    <cellStyle name="Page Title" xfId="57" xr:uid="{4AC7E47B-6DCD-427E-B380-C2349343CE74}"/>
    <cellStyle name="Sheet Title" xfId="55" xr:uid="{D566E194-AB76-48F9-9BC0-69B48C1007EA}"/>
    <cellStyle name="Subtotal$" xfId="47" xr:uid="{E97E06DE-9543-4D00-B34A-F4273E5C2A15}"/>
    <cellStyle name="Tab Name" xfId="75" xr:uid="{E1CC316F-ACCE-464F-8B6D-9B8BDACB411E}"/>
    <cellStyle name="TemplateInfoTitle" xfId="56" xr:uid="{62674353-1842-4E3B-85D7-BB4CDA789822}"/>
    <cellStyle name="TextNoLine" xfId="83" xr:uid="{6AC75D23-285B-4F88-BC4A-E79100C7D17D}"/>
    <cellStyle name="TextNoLine Center" xfId="77" xr:uid="{A76743C0-3F65-4ED3-BAB9-7912CA133971}"/>
    <cellStyle name="TextNoLineBold" xfId="72" xr:uid="{5634848A-E65F-4CC8-902A-45F2622BF6AA}"/>
    <cellStyle name="TextNoLineBold 3" xfId="44" xr:uid="{03E573D2-71FF-430E-913D-3815D43DF9DB}"/>
    <cellStyle name="TextNoLineBold Center" xfId="69" xr:uid="{15E76791-A603-4646-9861-9C3FE0C798EA}"/>
    <cellStyle name="Title" xfId="1" builtinId="15" customBuiltin="1"/>
    <cellStyle name="TL - Grey" xfId="79" xr:uid="{4A7804FE-561D-4A99-B4AE-E9E989DCE02F}"/>
    <cellStyle name="TL - Yellow" xfId="78" xr:uid="{809ACDBF-CF74-412A-9E76-16295D8F15F6}"/>
    <cellStyle name="Total" xfId="17" builtinId="25" customBuiltin="1"/>
    <cellStyle name="Warning Text" xfId="14" builtinId="11" customBuiltin="1"/>
    <cellStyle name="WP Client" xfId="82" xr:uid="{91EA08E2-77F1-4320-9E17-C233F792AD25}"/>
    <cellStyle name="WP Client Date" xfId="58" xr:uid="{1481AEF3-8BD7-4ACB-A7B3-23C593B8E577}"/>
  </cellStyles>
  <dxfs count="49">
    <dxf>
      <font>
        <color rgb="FF25FF0C"/>
      </font>
      <fill>
        <patternFill patternType="solid">
          <fgColor indexed="64"/>
          <bgColor rgb="FF25FF0C"/>
        </patternFill>
      </fill>
    </dxf>
    <dxf>
      <font>
        <color rgb="FFFF6D0C"/>
      </font>
      <fill>
        <patternFill patternType="solid">
          <fgColor indexed="64"/>
          <bgColor rgb="FFFF6D0C"/>
        </patternFill>
      </fill>
    </dxf>
    <dxf>
      <font>
        <color rgb="FF25FF0C"/>
      </font>
      <fill>
        <patternFill patternType="solid">
          <fgColor indexed="64"/>
          <bgColor rgb="FF25FF0C"/>
        </patternFill>
      </fill>
    </dxf>
    <dxf>
      <font>
        <color rgb="FFFF6D0C"/>
      </font>
      <fill>
        <patternFill patternType="solid">
          <fgColor indexed="64"/>
          <bgColor rgb="FFFF6D0C"/>
        </patternFill>
      </fill>
    </dxf>
    <dxf>
      <font>
        <b/>
        <i val="0"/>
        <color theme="8" tint="-0.24994659260841701"/>
      </font>
    </dxf>
    <dxf>
      <font>
        <b/>
        <i val="0"/>
        <color rgb="FFC00000"/>
      </font>
    </dxf>
    <dxf>
      <font>
        <b/>
        <i val="0"/>
        <color theme="4"/>
      </font>
    </dxf>
    <dxf>
      <font>
        <b/>
        <i val="0"/>
        <color theme="3" tint="-0.24994659260841701"/>
      </font>
    </dxf>
    <dxf>
      <font>
        <b/>
        <i val="0"/>
        <color theme="7" tint="-0.24994659260841701"/>
      </font>
    </dxf>
    <dxf>
      <font>
        <b/>
        <i val="0"/>
        <color theme="4" tint="-0.24994659260841701"/>
      </font>
    </dxf>
    <dxf>
      <font>
        <b/>
        <i val="0"/>
        <color theme="9"/>
      </font>
    </dxf>
    <dxf>
      <font>
        <b/>
        <i val="0"/>
        <color theme="9" tint="-0.499984740745262"/>
      </font>
    </dxf>
    <dxf>
      <font>
        <b/>
        <i val="0"/>
        <color theme="0"/>
      </font>
      <fill>
        <patternFill>
          <bgColor rgb="FFFF0000"/>
        </patternFill>
      </fill>
    </dxf>
    <dxf>
      <font>
        <color theme="1"/>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fill>
        <patternFill>
          <bgColor theme="0"/>
        </patternFill>
      </fill>
    </dxf>
    <dxf>
      <fill>
        <patternFill>
          <bgColor theme="0" tint="-4.9989318521683403E-2"/>
        </patternFill>
      </fill>
    </dxf>
    <dxf>
      <fill>
        <gradientFill degree="225">
          <stop position="0">
            <color theme="0" tint="-0.1490218817712943"/>
          </stop>
          <stop position="1">
            <color theme="0"/>
          </stop>
        </gradientFill>
      </fill>
    </dxf>
    <dxf>
      <font>
        <b/>
        <i val="0"/>
        <color theme="0"/>
      </font>
      <fill>
        <patternFill>
          <bgColor rgb="FFC00000"/>
        </patternFill>
      </fill>
    </dxf>
    <dxf>
      <font>
        <b/>
        <i val="0"/>
        <color theme="0"/>
      </font>
      <fill>
        <patternFill>
          <bgColor theme="9"/>
        </patternFill>
      </fill>
    </dxf>
    <dxf>
      <font>
        <b/>
        <i val="0"/>
        <color rgb="FFBF8F00"/>
      </font>
      <fill>
        <patternFill>
          <bgColor theme="7" tint="0.79998168889431442"/>
        </patternFill>
      </fill>
      <border>
        <left style="thin">
          <color rgb="FFBF8F00"/>
        </left>
        <right style="thin">
          <color rgb="FFBF8F00"/>
        </right>
        <top style="thin">
          <color rgb="FFBF8F00"/>
        </top>
        <bottom style="thin">
          <color rgb="FFBF8F00"/>
        </bottom>
        <vertical/>
        <horizontal/>
      </border>
    </dxf>
    <dxf>
      <font>
        <b/>
        <i val="0"/>
        <color rgb="FFBF8F00"/>
      </font>
      <numFmt numFmtId="0" formatCode="General"/>
      <fill>
        <patternFill>
          <bgColor theme="7" tint="0.79998168889431442"/>
        </patternFill>
      </fill>
      <border>
        <left style="thin">
          <color rgb="FFBF8F00"/>
        </left>
        <right style="thin">
          <color rgb="FFBF8F00"/>
        </right>
        <top style="thin">
          <color rgb="FFBF8F00"/>
        </top>
        <bottom style="thin">
          <color rgb="FFBF8F00"/>
        </bottom>
      </border>
    </dxf>
    <dxf>
      <font>
        <b/>
        <i val="0"/>
        <color rgb="FFBF8F00"/>
      </font>
      <fill>
        <patternFill>
          <bgColor theme="7" tint="0.79998168889431442"/>
        </patternFill>
      </fill>
      <border>
        <left style="thin">
          <color rgb="FFBF8F00"/>
        </left>
        <right style="thin">
          <color rgb="FFBF8F00"/>
        </right>
        <top style="thin">
          <color rgb="FFBF8F00"/>
        </top>
        <bottom style="thin">
          <color rgb="FFBF8F00"/>
        </bottom>
        <vertical/>
        <horizontal/>
      </border>
    </dxf>
    <dxf>
      <font>
        <b/>
        <i val="0"/>
        <color theme="8" tint="-0.24994659260841701"/>
      </font>
    </dxf>
    <dxf>
      <font>
        <b/>
        <i val="0"/>
        <color rgb="FFC00000"/>
      </font>
    </dxf>
    <dxf>
      <font>
        <b/>
        <i val="0"/>
        <color theme="4"/>
      </font>
    </dxf>
    <dxf>
      <font>
        <b/>
        <i val="0"/>
        <color theme="3" tint="-0.24994659260841701"/>
      </font>
    </dxf>
    <dxf>
      <font>
        <b/>
        <i val="0"/>
        <color theme="7" tint="-0.24994659260841701"/>
      </font>
    </dxf>
    <dxf>
      <font>
        <b/>
        <i val="0"/>
        <color theme="4" tint="-0.24994659260841701"/>
      </font>
    </dxf>
    <dxf>
      <font>
        <b/>
        <i val="0"/>
        <color theme="9"/>
      </font>
    </dxf>
    <dxf>
      <font>
        <b/>
        <i val="0"/>
        <color theme="9" tint="-0.499984740745262"/>
      </font>
    </dxf>
    <dxf>
      <fill>
        <patternFill>
          <bgColor rgb="FFC00000"/>
        </patternFill>
      </fill>
      <border>
        <left style="thin">
          <color rgb="FFC00000"/>
        </left>
        <right style="thin">
          <color rgb="FFC00000"/>
        </right>
        <top style="thin">
          <color rgb="FFC00000"/>
        </top>
        <bottom style="thin">
          <color rgb="FFC00000"/>
        </bottom>
      </border>
    </dxf>
    <dxf>
      <fill>
        <patternFill>
          <bgColor theme="9"/>
        </patternFill>
      </fill>
      <border>
        <left style="thin">
          <color theme="9"/>
        </left>
        <right style="thin">
          <color theme="9"/>
        </right>
        <top style="thin">
          <color theme="9"/>
        </top>
        <bottom style="thin">
          <color theme="9"/>
        </bottom>
      </border>
    </dxf>
    <dxf>
      <border>
        <left style="thin">
          <color rgb="FFC00000"/>
        </left>
        <right style="thin">
          <color rgb="FFC00000"/>
        </right>
      </border>
    </dxf>
    <dxf>
      <border>
        <left style="thin">
          <color theme="9"/>
        </left>
        <right style="thin">
          <color theme="9"/>
        </right>
      </border>
    </dxf>
    <dxf>
      <border>
        <left style="thin">
          <color rgb="FFC00000"/>
        </left>
        <right style="thin">
          <color rgb="FFC00000"/>
        </right>
        <top style="thin">
          <color rgb="FFC00000"/>
        </top>
      </border>
    </dxf>
    <dxf>
      <border>
        <left style="thin">
          <color theme="9"/>
        </left>
        <right style="thin">
          <color theme="9"/>
        </right>
        <top style="thin">
          <color theme="9"/>
        </top>
      </border>
    </dxf>
    <dxf>
      <fill>
        <patternFill patternType="lightTrellis">
          <fgColor theme="0" tint="-0.34998626667073579"/>
        </patternFill>
      </fill>
    </dxf>
    <dxf>
      <font>
        <b/>
        <i val="0"/>
        <color theme="0"/>
      </font>
      <numFmt numFmtId="0" formatCode="General"/>
      <fill>
        <patternFill>
          <bgColor theme="7"/>
        </patternFill>
      </fill>
    </dxf>
    <dxf>
      <font>
        <color theme="0" tint="-0.34998626667073579"/>
      </font>
      <fill>
        <patternFill patternType="lightTrellis">
          <fgColor theme="0" tint="-0.34998626667073579"/>
        </patternFill>
      </fill>
    </dxf>
    <dxf>
      <fill>
        <patternFill patternType="lightTrellis">
          <fgColor theme="0" tint="-0.34998626667073579"/>
        </patternFill>
      </fill>
    </dxf>
    <dxf>
      <fill>
        <patternFill>
          <bgColor rgb="FFFF0000"/>
        </patternFill>
      </fill>
    </dxf>
    <dxf>
      <fill>
        <patternFill>
          <bgColor rgb="FFFF0000"/>
        </patternFill>
      </fill>
    </dxf>
    <dxf>
      <fill>
        <patternFill patternType="none">
          <bgColor auto="1"/>
        </patternFill>
      </fill>
      <border>
        <left style="thin">
          <color theme="0" tint="-0.14996795556505021"/>
        </left>
        <right style="thin">
          <color theme="0" tint="-0.14996795556505021"/>
        </right>
        <top style="thin">
          <color theme="0" tint="-0.14996795556505021"/>
        </top>
        <bottom style="thin">
          <color theme="0" tint="-0.149967955565050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976"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35BF0CD-42CC-4174-B8D2-6D375C9A759E}">
  <we:reference id="WA200004977" version="1.0.0.10" store="en-au" storeType="OMEX"/>
  <we:alternateReferences/>
  <we:properties>
    <we:property name="Office.AutoShowTaskpaneWithDocument" value="true"/>
  </we:properties>
  <we:bindings>
    <we:binding id="71077bd3-9ee6-4287-ac58-5c11c84c375f|D03_Number_of_Directors" type="matrix" appref="{E7C100DE-1E56-44D6-BABC-50A409D231BB}"/>
    <we:binding id="71077bd3-9ee6-4287-ac58-5c11c84c375f|D03_Number_of_Loans" type="matrix" appref="{343E1163-F1B5-4A3F-AEE7-B8F4C146F3C5}"/>
    <we:binding id="71077bd3-9ee6-4287-ac58-5c11c84c375f|Reconcile_Director1LoanBalance" type="matrix" appref="{B0CCF379-2CF3-4C06-8220-E4DFD9593A02}"/>
    <we:binding id="71077bd3-9ee6-4287-ac58-5c11c84c375f|Reconcile_Director2LoanBalance" type="matrix" appref="{DC036DEC-4300-49CD-A1BD-4F0AD51309DF}"/>
    <we:binding id="71077bd3-9ee6-4287-ac58-5c11c84c375f|Reconcile_Director3LoanBalance" type="matrix" appref="{1E8571C4-C150-400F-926A-98A085AFAE0C}"/>
    <we:binding id="71077bd3-9ee6-4287-ac58-5c11c84c375f|Reconcile_Div7AClosingBalance" type="matrix" appref="{5D3CCC21-20B5-41E4-B61A-1D4777B0ACF6}"/>
    <we:binding id="71077bd3-9ee6-4287-ac58-5c11c84c375f|Reconcile_TotalClosingBalance" type="matrix" appref="{5B4ECD7E-8EE7-4F3E-9179-79D81360A7DB}"/>
    <we:binding id="71077bd3-9ee6-4287-ac58-5c11c84c375f|Reconcile_UPEClosingBalance" type="matrix" appref="{086CC3DF-9E3D-4BD7-9FB7-8FDE8DC6FFB4}"/>
    <we:binding id="8acd997b-c45f-44df-b52a-aa0e56a6969f|G31_LoanBalance" type="matrix" appref="{B0E9F1E3-C798-4678-A7B5-674CF79B0CDD}"/>
    <we:binding id="8acd997b-c45f-44df-b52a-aa0e56a6969f|Reconcile_LoanBalance" type="matrix" appref="{95A8F76D-F23D-4579-B350-8FA691E94260}"/>
  </we:bindings>
  <we:snapshot xmlns:r="http://schemas.openxmlformats.org/officeDocument/2006/relationships"/>
  <we:extLst>
    <a:ext xmlns:a="http://schemas.openxmlformats.org/drawingml/2006/main" uri="{7C84B067-C214-45C3-A712-C9D94CD141B2}">
      <we:customFunctionIdList>
        <we:customFunctionIds>_xldudf_WP_NAMEDRANGE</we:customFunctionIds>
        <we:customFunctionIds>_xldudf_WP_NOWSTRING</we:customFunctionIds>
        <we:customFunctionIds>_xldudf_WP_SUMNAMEDRANGE</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to.gov.au/calculators-and-tools/division-7a-calculator-and-decision-tool/" TargetMode="External"/><Relationship Id="rId2" Type="http://schemas.openxmlformats.org/officeDocument/2006/relationships/hyperlink" Target="https://www.ato.gov.au/business/private-company-benefits---division-7a-dividends/in-detail/division-7a-and-trusts/" TargetMode="External"/><Relationship Id="rId1" Type="http://schemas.openxmlformats.org/officeDocument/2006/relationships/hyperlink" Target="https://www.ato.gov.au/law/view/document?docid=PAC/19360027/109R" TargetMode="External"/><Relationship Id="rId6" Type="http://schemas.openxmlformats.org/officeDocument/2006/relationships/customProperty" Target="../customProperty4.bin"/><Relationship Id="rId5" Type="http://schemas.openxmlformats.org/officeDocument/2006/relationships/customProperty" Target="../customProperty3.bin"/><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7.bin"/><Relationship Id="rId2" Type="http://schemas.openxmlformats.org/officeDocument/2006/relationships/printerSettings" Target="../printerSettings/printerSettings4.bin"/><Relationship Id="rId1" Type="http://schemas.openxmlformats.org/officeDocument/2006/relationships/hyperlink" Target="https://www.ato.gov.au/Business/Private-company-benefits---Division-7A-dividends/In-detail/Division-7A---Distributable-surplus/" TargetMode="External"/><Relationship Id="rId4" Type="http://schemas.openxmlformats.org/officeDocument/2006/relationships/customProperty" Target="../customProperty8.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5"/>
  <sheetViews>
    <sheetView showGridLines="0" topLeftCell="A4" workbookViewId="0">
      <selection activeCell="A19" sqref="A19:B19"/>
    </sheetView>
  </sheetViews>
  <sheetFormatPr defaultColWidth="9" defaultRowHeight="14.25" customHeight="1"/>
  <cols>
    <col min="1" max="1" width="11.5703125" customWidth="1"/>
    <col min="2" max="2" width="77" customWidth="1"/>
    <col min="3" max="8" width="8.85546875" customWidth="1"/>
  </cols>
  <sheetData>
    <row r="2" ht="14.85" customHeight="1"/>
    <row r="3" ht="14.85" customHeight="1"/>
    <row r="17" spans="1:6" ht="22.5" customHeight="1">
      <c r="A17" s="2" t="str" cm="1">
        <f t="array" ref="A17">IFERROR(Cl_Name, "")</f>
        <v>Springrange Holdings Pty Ltd</v>
      </c>
      <c r="B17" s="2"/>
      <c r="C17" s="2"/>
      <c r="D17" s="2"/>
      <c r="E17" s="2"/>
      <c r="F17" s="2"/>
    </row>
    <row r="19" spans="1:6" ht="14.25" customHeight="1">
      <c r="A19" s="4" t="s">
        <v>4</v>
      </c>
      <c r="B19" s="4" t="s">
        <v>4</v>
      </c>
    </row>
    <row r="20" spans="1:6" ht="14.25" customHeight="1">
      <c r="A20" s="3" cm="1">
        <f t="array" ref="A20">IFERROR(PeriodEndDate,"")</f>
        <v>45473</v>
      </c>
      <c r="B20" s="3"/>
    </row>
    <row r="36" spans="1:2" ht="14.25" customHeight="1">
      <c r="A36" t="str" cm="1">
        <f t="array" ref="A36">IFERROR(Firm_Name,"")</f>
        <v>Main Office</v>
      </c>
    </row>
    <row r="38" spans="1:2" ht="14.25" customHeight="1">
      <c r="A38" s="1" t="s">
        <v>3</v>
      </c>
      <c r="B38" t="str">
        <f t="array" ref="B38">IFERROR(Firm_Partner,"")</f>
        <v>Fleur Parsons</v>
      </c>
    </row>
    <row r="39" spans="1:2" ht="14.25" customHeight="1">
      <c r="A39" s="1" t="s">
        <v>2</v>
      </c>
      <c r="B39" t="str" cm="1">
        <f t="array" ref="B39">IFERROR(Firm_Manager,"")</f>
        <v>Fleur Parsons</v>
      </c>
    </row>
    <row r="40" spans="1:2" ht="14.25" customHeight="1">
      <c r="A40" s="1" t="s">
        <v>0</v>
      </c>
      <c r="B40" t="str">
        <f t="array" ref="B40">IFERROR(Firm_Reviewer,"")</f>
        <v>Fleur Parsons</v>
      </c>
    </row>
    <row r="41" spans="1:2" ht="14.25" customHeight="1">
      <c r="A41" s="1" t="s">
        <v>1</v>
      </c>
      <c r="B41" t="str">
        <f t="array" ref="B41">IFERROR(Firm_Preparer,"")</f>
        <v>Callum Matchett</v>
      </c>
    </row>
    <row r="44" spans="1:2" ht="14.85" customHeight="1"/>
    <row r="45" spans="1:2" ht="14.85" customHeight="1"/>
  </sheetData>
  <mergeCells count="5">
    <mergeCell ref="A17:B17"/>
    <mergeCell ref="C17:D17"/>
    <mergeCell ref="E17:F17"/>
    <mergeCell ref="A20:B20"/>
    <mergeCell ref="A19:B19"/>
  </mergeCells>
  <pageMargins left="0.7" right="0.7" top="0.75" bottom="0.75" header="0.3" footer="0.3"/>
  <pageSetup orientation="portrait" r:id="rId1"/>
  <customProperties>
    <customPr name="SheetId" r:id="rId2"/>
    <customPr name="SheetName"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40063-403E-4E05-BCE7-E78717498E5A}">
  <dimension ref="A1:P165"/>
  <sheetViews>
    <sheetView showGridLines="0" topLeftCell="A78" zoomScaleNormal="100" zoomScaleSheetLayoutView="70" workbookViewId="0">
      <selection activeCell="J42" sqref="J42"/>
    </sheetView>
  </sheetViews>
  <sheetFormatPr defaultRowHeight="15"/>
  <cols>
    <col min="1" max="1" width="4.28515625" style="91" customWidth="1"/>
    <col min="2" max="2" width="1.42578125" style="91" customWidth="1"/>
    <col min="3" max="4" width="15.7109375" style="91" hidden="1" customWidth="1"/>
    <col min="5" max="5" width="13" style="91" customWidth="1"/>
    <col min="6" max="6" width="15.7109375" style="91" customWidth="1"/>
    <col min="7" max="10" width="17.7109375" style="91" customWidth="1"/>
    <col min="11" max="12" width="18.140625" style="91" customWidth="1"/>
    <col min="13" max="13" width="1.42578125" style="91" customWidth="1"/>
    <col min="14" max="14" width="4.28515625" style="91" customWidth="1"/>
    <col min="15" max="16" width="15.7109375" style="91" customWidth="1"/>
    <col min="17" max="17" width="9.140625" style="91"/>
    <col min="18" max="18" width="13.7109375" style="91" bestFit="1" customWidth="1"/>
    <col min="19" max="16384" width="9.140625" style="91"/>
  </cols>
  <sheetData>
    <row r="1" spans="1:16" ht="22.5" hidden="1" customHeight="1">
      <c r="D1" s="239" t="s">
        <v>142</v>
      </c>
      <c r="G1" s="239" t="s">
        <v>186</v>
      </c>
      <c r="H1" s="239" t="s">
        <v>147</v>
      </c>
      <c r="I1" s="239" t="s">
        <v>185</v>
      </c>
      <c r="J1" s="239" t="s">
        <v>184</v>
      </c>
      <c r="K1" s="239" t="s">
        <v>101</v>
      </c>
      <c r="L1" s="239" t="s">
        <v>183</v>
      </c>
    </row>
    <row r="2" spans="1:16" ht="24" hidden="1" customHeight="1">
      <c r="C2" s="221"/>
      <c r="D2" s="221"/>
      <c r="E2" s="238" t="s">
        <v>115</v>
      </c>
      <c r="F2" s="237" t="s">
        <v>182</v>
      </c>
      <c r="G2" s="221"/>
      <c r="H2" s="221"/>
      <c r="I2" s="236"/>
      <c r="J2" s="235"/>
      <c r="K2" s="236" t="s">
        <v>113</v>
      </c>
      <c r="L2" s="235" t="str">
        <f>IFERROR(Jurisdiction,"AU")</f>
        <v>AU</v>
      </c>
    </row>
    <row r="3" spans="1:16" ht="7.5" customHeight="1">
      <c r="C3" s="221"/>
      <c r="D3" s="221"/>
      <c r="E3" s="238"/>
      <c r="F3" s="237"/>
      <c r="G3" s="221"/>
      <c r="H3" s="221"/>
      <c r="I3" s="236"/>
      <c r="J3" s="235"/>
    </row>
    <row r="4" spans="1:16" ht="24.95" customHeight="1">
      <c r="C4" s="221"/>
      <c r="D4" s="221"/>
      <c r="E4" s="234" t="s">
        <v>181</v>
      </c>
      <c r="F4" s="234"/>
      <c r="G4" s="234"/>
      <c r="H4" s="234"/>
      <c r="I4" s="234"/>
      <c r="K4"/>
      <c r="L4" s="240" t="s">
        <v>116</v>
      </c>
      <c r="O4" s="233" t="s">
        <v>110</v>
      </c>
      <c r="P4" s="232" t="s">
        <v>180</v>
      </c>
    </row>
    <row r="5" spans="1:16" ht="22.5" customHeight="1">
      <c r="B5" s="221"/>
      <c r="C5" s="221"/>
      <c r="D5" s="221"/>
      <c r="E5" s="231" t="str">
        <f>_xlfn.TEXTJOIN(" ",1,IFERROR(_xlfn.SINGLE(Cl_Name),"Client Name"),IF(IFERROR(_xlfn.SINGLE(Cl_Code),"")="","","("&amp;_xlfn.SINGLE(Cl_Code)&amp;")"))</f>
        <v>Springrange Holdings Pty Ltd (MuM001)</v>
      </c>
      <c r="F5" s="231"/>
      <c r="G5" s="231"/>
      <c r="H5" s="231"/>
      <c r="I5" s="231"/>
      <c r="K5" s="223"/>
      <c r="L5" s="230" t="str">
        <f>IF(ISBLANK(_xlfn.SINGLE(Tm_TBAccount)),_xlfn.TEXTJOIN("-",1,K7:L7),TEXT(_xlfn.SINGLE(Tm_TBAccount),"0"))</f>
        <v/>
      </c>
    </row>
    <row r="6" spans="1:16" ht="22.5" customHeight="1">
      <c r="B6" s="221"/>
      <c r="C6" s="221"/>
      <c r="D6" s="221"/>
      <c r="E6" s="229">
        <f>IFERROR(_xlfn.SINGLE(PeriodEndDate),DATE(2024,6,30))</f>
        <v>45473</v>
      </c>
      <c r="F6" s="228"/>
      <c r="G6" s="228"/>
      <c r="H6" s="228"/>
      <c r="K6" s="223"/>
      <c r="L6" s="227" t="str">
        <f>J53</f>
        <v>Out of Balance</v>
      </c>
      <c r="M6" s="226">
        <f>IFERROR(_xlfn.XLOOKUP("58fea58e-89b0-45a0-8ff2-1b94149fbb67",RecordInfo.RecordId,RecordInfo.Tolerances),0)</f>
        <v>0.01</v>
      </c>
      <c r="O6" s="225" t="s">
        <v>179</v>
      </c>
      <c r="P6" s="224"/>
    </row>
    <row r="7" spans="1:16" ht="17.25" hidden="1" customHeight="1">
      <c r="B7" s="221"/>
      <c r="C7" s="221"/>
      <c r="D7" s="221"/>
      <c r="E7" s="222"/>
      <c r="F7" s="221"/>
      <c r="G7" s="221"/>
      <c r="H7" s="221"/>
      <c r="J7" s="220"/>
      <c r="K7" s="219"/>
      <c r="L7" s="219"/>
    </row>
    <row r="8" spans="1:16" ht="7.5" customHeight="1">
      <c r="B8" s="85"/>
      <c r="C8" s="85"/>
      <c r="D8" s="85"/>
      <c r="E8" s="85"/>
      <c r="F8" s="85"/>
      <c r="G8" s="85"/>
      <c r="H8" s="85"/>
      <c r="I8" s="218"/>
      <c r="J8" s="218"/>
      <c r="K8" s="218"/>
      <c r="L8" s="218"/>
      <c r="M8" s="218"/>
    </row>
    <row r="9" spans="1:16" ht="7.5" customHeight="1"/>
    <row r="10" spans="1:16" ht="30" customHeight="1">
      <c r="A10" s="217" t="str">
        <f>IF(SUBTOTAL(103,A11),"-","+")</f>
        <v>+</v>
      </c>
      <c r="C10" s="83" t="s">
        <v>178</v>
      </c>
      <c r="D10" s="83"/>
      <c r="E10" s="83"/>
      <c r="F10" s="83"/>
      <c r="G10" s="83"/>
      <c r="H10" s="83"/>
      <c r="I10" s="83"/>
      <c r="J10" s="83"/>
      <c r="K10" s="83"/>
      <c r="L10" s="83"/>
    </row>
    <row r="11" spans="1:16" ht="17.25" hidden="1" customHeight="1">
      <c r="A11" s="91" t="s">
        <v>59</v>
      </c>
      <c r="E11" s="216" t="s">
        <v>177</v>
      </c>
      <c r="F11" s="214" t="s">
        <v>176</v>
      </c>
      <c r="G11" s="214"/>
      <c r="H11" s="214"/>
      <c r="I11" s="214"/>
      <c r="J11" s="214"/>
      <c r="K11" s="214"/>
      <c r="L11" s="214"/>
    </row>
    <row r="12" spans="1:16" ht="17.25" hidden="1" customHeight="1">
      <c r="E12" s="215"/>
      <c r="F12" s="214" t="s">
        <v>175</v>
      </c>
      <c r="G12" s="214"/>
      <c r="H12" s="214"/>
      <c r="I12" s="214"/>
      <c r="J12" s="214"/>
      <c r="K12" s="214"/>
      <c r="L12" s="214"/>
    </row>
    <row r="13" spans="1:16" ht="17.25" hidden="1" customHeight="1">
      <c r="E13" s="215"/>
      <c r="F13" s="214" t="s">
        <v>174</v>
      </c>
      <c r="G13" s="214"/>
      <c r="H13" s="214"/>
      <c r="I13" s="214"/>
      <c r="J13" s="214"/>
      <c r="K13" s="214"/>
      <c r="L13" s="214"/>
    </row>
    <row r="14" spans="1:16" ht="24.95" customHeight="1"/>
    <row r="15" spans="1:16" ht="22.5" customHeight="1">
      <c r="A15" s="138" t="str">
        <f>IF(SUBTOTAL(103,A16),"-","+")</f>
        <v>+</v>
      </c>
      <c r="B15" s="137" t="s">
        <v>173</v>
      </c>
      <c r="C15" s="136"/>
      <c r="D15" s="136"/>
      <c r="E15" s="136"/>
      <c r="F15" s="136"/>
      <c r="G15" s="136"/>
      <c r="H15" s="135"/>
      <c r="I15" s="134"/>
      <c r="J15" s="134"/>
      <c r="K15" s="134"/>
      <c r="L15" s="134"/>
    </row>
    <row r="16" spans="1:16" ht="7.5" hidden="1" customHeight="1">
      <c r="A16" s="91" t="s">
        <v>59</v>
      </c>
      <c r="B16" s="153"/>
      <c r="C16" s="152"/>
      <c r="D16" s="152"/>
      <c r="E16" s="152"/>
      <c r="F16" s="152"/>
      <c r="G16" s="152"/>
      <c r="H16" s="152"/>
      <c r="I16" s="152"/>
      <c r="J16" s="152"/>
      <c r="K16" s="152"/>
      <c r="L16" s="152"/>
      <c r="M16" s="151"/>
    </row>
    <row r="17" spans="2:16" ht="17.25" hidden="1" customHeight="1">
      <c r="B17" s="117"/>
      <c r="G17" s="142">
        <v>41091</v>
      </c>
      <c r="H17" s="210" t="s">
        <v>172</v>
      </c>
      <c r="I17" s="142">
        <v>41455</v>
      </c>
      <c r="J17" s="211">
        <v>7.0499999999999993E-2</v>
      </c>
      <c r="M17" s="113"/>
    </row>
    <row r="18" spans="2:16" ht="17.25" hidden="1" customHeight="1">
      <c r="B18" s="117"/>
      <c r="G18" s="142">
        <v>41456</v>
      </c>
      <c r="H18" s="210" t="s">
        <v>172</v>
      </c>
      <c r="I18" s="142">
        <v>41820</v>
      </c>
      <c r="J18" s="211">
        <v>6.2E-2</v>
      </c>
      <c r="M18" s="113"/>
    </row>
    <row r="19" spans="2:16" ht="17.25" hidden="1" customHeight="1">
      <c r="B19" s="117"/>
      <c r="G19" s="142">
        <v>41821</v>
      </c>
      <c r="H19" s="210" t="s">
        <v>172</v>
      </c>
      <c r="I19" s="142">
        <v>42185</v>
      </c>
      <c r="J19" s="211">
        <v>5.9499999999999997E-2</v>
      </c>
      <c r="M19" s="113"/>
      <c r="N19" s="213"/>
    </row>
    <row r="20" spans="2:16" ht="17.25" hidden="1" customHeight="1">
      <c r="B20" s="117"/>
      <c r="G20" s="142">
        <v>42186</v>
      </c>
      <c r="H20" s="210" t="s">
        <v>172</v>
      </c>
      <c r="I20" s="142">
        <v>42551</v>
      </c>
      <c r="J20" s="211">
        <v>5.45E-2</v>
      </c>
      <c r="M20" s="113"/>
      <c r="N20" s="191"/>
    </row>
    <row r="21" spans="2:16" ht="17.25" hidden="1" customHeight="1">
      <c r="B21" s="117"/>
      <c r="G21" s="142">
        <v>42552</v>
      </c>
      <c r="H21" s="210" t="s">
        <v>172</v>
      </c>
      <c r="I21" s="142">
        <v>42916</v>
      </c>
      <c r="J21" s="211">
        <v>5.3999999999999999E-2</v>
      </c>
      <c r="M21" s="113"/>
      <c r="N21" s="191"/>
    </row>
    <row r="22" spans="2:16" ht="17.25" hidden="1" customHeight="1">
      <c r="B22" s="117"/>
      <c r="G22" s="142">
        <v>42917</v>
      </c>
      <c r="H22" s="210" t="s">
        <v>172</v>
      </c>
      <c r="I22" s="142">
        <v>43281</v>
      </c>
      <c r="J22" s="211">
        <v>5.2999999999999999E-2</v>
      </c>
      <c r="M22" s="113"/>
      <c r="N22" s="212"/>
    </row>
    <row r="23" spans="2:16" ht="17.25" hidden="1" customHeight="1">
      <c r="B23" s="117"/>
      <c r="G23" s="142">
        <v>43282</v>
      </c>
      <c r="H23" s="210" t="s">
        <v>172</v>
      </c>
      <c r="I23" s="142">
        <v>43646</v>
      </c>
      <c r="J23" s="211">
        <v>5.1999999999999998E-2</v>
      </c>
      <c r="M23" s="113"/>
      <c r="N23" s="191"/>
    </row>
    <row r="24" spans="2:16" ht="17.25" hidden="1" customHeight="1">
      <c r="B24" s="117"/>
      <c r="G24" s="142">
        <v>43647</v>
      </c>
      <c r="H24" s="210" t="s">
        <v>172</v>
      </c>
      <c r="I24" s="142">
        <v>44012</v>
      </c>
      <c r="J24" s="209">
        <v>5.3699999999999998E-2</v>
      </c>
      <c r="M24" s="113"/>
      <c r="N24" s="191"/>
    </row>
    <row r="25" spans="2:16" ht="17.25" hidden="1" customHeight="1">
      <c r="B25" s="117"/>
      <c r="G25" s="142">
        <v>44013</v>
      </c>
      <c r="H25" s="210" t="s">
        <v>172</v>
      </c>
      <c r="I25" s="142">
        <v>44377</v>
      </c>
      <c r="J25" s="209">
        <v>4.5199999999999997E-2</v>
      </c>
      <c r="M25" s="113"/>
      <c r="N25" s="191"/>
    </row>
    <row r="26" spans="2:16" ht="17.25" hidden="1" customHeight="1">
      <c r="B26" s="117"/>
      <c r="G26" s="142">
        <v>44378</v>
      </c>
      <c r="H26" s="210" t="s">
        <v>172</v>
      </c>
      <c r="I26" s="142">
        <v>44742</v>
      </c>
      <c r="J26" s="209">
        <v>4.5199999999999997E-2</v>
      </c>
      <c r="M26" s="113"/>
      <c r="N26" s="191"/>
    </row>
    <row r="27" spans="2:16" ht="17.25" hidden="1" customHeight="1">
      <c r="B27" s="117"/>
      <c r="G27" s="142">
        <v>44743</v>
      </c>
      <c r="H27" s="210" t="s">
        <v>172</v>
      </c>
      <c r="I27" s="142">
        <v>45107</v>
      </c>
      <c r="J27" s="209">
        <v>4.7699999999999999E-2</v>
      </c>
      <c r="M27" s="113"/>
      <c r="N27" s="191"/>
    </row>
    <row r="28" spans="2:16" ht="17.25" hidden="1" customHeight="1">
      <c r="B28" s="117"/>
      <c r="G28" s="142">
        <v>45108</v>
      </c>
      <c r="H28" s="210" t="s">
        <v>172</v>
      </c>
      <c r="I28" s="142">
        <v>45473</v>
      </c>
      <c r="J28" s="209">
        <v>8.2699999999999996E-2</v>
      </c>
      <c r="M28" s="113"/>
      <c r="N28" s="191"/>
    </row>
    <row r="29" spans="2:16" ht="17.25" hidden="1" customHeight="1">
      <c r="B29" s="117"/>
      <c r="G29" s="142">
        <v>45474</v>
      </c>
      <c r="H29" s="210" t="s">
        <v>172</v>
      </c>
      <c r="I29" s="142">
        <v>45838</v>
      </c>
      <c r="J29" s="209">
        <v>8.77E-2</v>
      </c>
      <c r="M29" s="113"/>
      <c r="N29" s="191"/>
    </row>
    <row r="30" spans="2:16" ht="7.5" hidden="1" customHeight="1">
      <c r="B30" s="110"/>
      <c r="C30" s="109"/>
      <c r="D30" s="109"/>
      <c r="E30" s="109"/>
      <c r="F30" s="208"/>
      <c r="G30" s="207"/>
      <c r="H30" s="109"/>
      <c r="I30" s="206"/>
      <c r="J30" s="109"/>
      <c r="K30" s="109"/>
      <c r="L30" s="109"/>
      <c r="M30" s="108"/>
      <c r="N30" s="191"/>
    </row>
    <row r="31" spans="2:16" ht="22.5" customHeight="1"/>
    <row r="32" spans="2:16" ht="22.5" customHeight="1">
      <c r="B32" s="205" t="s">
        <v>171</v>
      </c>
      <c r="C32" s="204"/>
      <c r="D32" s="204"/>
      <c r="E32" s="204"/>
      <c r="F32" s="204"/>
      <c r="G32" s="204"/>
      <c r="H32" s="203"/>
      <c r="O32" s="202" t="s">
        <v>170</v>
      </c>
      <c r="P32" s="201"/>
    </row>
    <row r="33" spans="2:16" ht="7.5" customHeight="1">
      <c r="B33" s="200"/>
      <c r="C33" s="199"/>
      <c r="D33" s="199"/>
      <c r="E33" s="199"/>
      <c r="F33" s="199"/>
      <c r="G33" s="199"/>
      <c r="H33" s="199"/>
      <c r="I33" s="199"/>
      <c r="J33" s="199"/>
      <c r="K33" s="199"/>
      <c r="L33" s="199"/>
      <c r="M33" s="198"/>
    </row>
    <row r="34" spans="2:16" ht="17.25" customHeight="1">
      <c r="B34" s="117"/>
      <c r="E34" s="197" t="s">
        <v>169</v>
      </c>
      <c r="F34" s="196" t="s">
        <v>195</v>
      </c>
      <c r="G34" s="195"/>
      <c r="H34" s="195"/>
      <c r="I34" s="195"/>
      <c r="J34" s="194"/>
      <c r="K34" s="193"/>
      <c r="L34" s="193"/>
      <c r="M34" s="192"/>
      <c r="N34" s="191"/>
      <c r="O34" s="112"/>
      <c r="P34" s="111"/>
    </row>
    <row r="35" spans="2:16" ht="17.25" customHeight="1">
      <c r="B35" s="117"/>
      <c r="E35" s="169" t="s">
        <v>168</v>
      </c>
      <c r="F35" s="169"/>
      <c r="G35" s="169"/>
      <c r="H35" s="169"/>
      <c r="I35" s="172"/>
      <c r="J35" s="189" t="s">
        <v>196</v>
      </c>
      <c r="K35" s="188"/>
      <c r="L35" s="188"/>
      <c r="M35" s="113"/>
      <c r="N35" s="191"/>
      <c r="O35" s="112"/>
      <c r="P35" s="111"/>
    </row>
    <row r="36" spans="2:16" ht="17.25" customHeight="1">
      <c r="B36" s="117"/>
      <c r="E36" s="169" t="s">
        <v>167</v>
      </c>
      <c r="F36" s="169"/>
      <c r="G36" s="169"/>
      <c r="H36" s="169"/>
      <c r="I36" s="172"/>
      <c r="J36" s="189" t="s">
        <v>197</v>
      </c>
      <c r="K36" s="188"/>
      <c r="L36" s="188"/>
      <c r="M36" s="113"/>
      <c r="N36" s="154"/>
      <c r="O36" s="112"/>
      <c r="P36" s="111"/>
    </row>
    <row r="37" spans="2:16" ht="17.25" customHeight="1">
      <c r="B37" s="117"/>
      <c r="E37" s="169" t="s">
        <v>166</v>
      </c>
      <c r="F37" s="169"/>
      <c r="G37" s="169"/>
      <c r="H37" s="169"/>
      <c r="I37" s="172"/>
      <c r="J37" s="189">
        <v>2023</v>
      </c>
      <c r="K37" s="188"/>
      <c r="L37" s="188"/>
      <c r="M37" s="113"/>
      <c r="N37" s="154"/>
      <c r="O37" s="112"/>
      <c r="P37" s="111"/>
    </row>
    <row r="38" spans="2:16" ht="17.25" hidden="1" customHeight="1">
      <c r="B38" s="117"/>
      <c r="E38" s="169" t="s">
        <v>133</v>
      </c>
      <c r="F38" s="169"/>
      <c r="G38" s="169"/>
      <c r="H38" s="169"/>
      <c r="I38" s="172"/>
      <c r="J38" s="190">
        <f>IF(MOD(YEAR(E6),4)=0,366,365)</f>
        <v>366</v>
      </c>
      <c r="K38" s="188"/>
      <c r="L38" s="188"/>
      <c r="M38" s="113"/>
      <c r="N38" s="154"/>
      <c r="O38" s="112"/>
      <c r="P38" s="111"/>
    </row>
    <row r="39" spans="2:16" ht="17.25" customHeight="1">
      <c r="B39" s="117"/>
      <c r="E39" s="169" t="s">
        <v>165</v>
      </c>
      <c r="F39" s="169"/>
      <c r="G39" s="169"/>
      <c r="H39" s="169"/>
      <c r="I39" s="172"/>
      <c r="J39" s="189">
        <v>6</v>
      </c>
      <c r="L39" s="188"/>
      <c r="M39" s="113"/>
      <c r="N39" s="154"/>
      <c r="O39" s="112"/>
      <c r="P39" s="111"/>
    </row>
    <row r="40" spans="2:16" ht="17.25" customHeight="1">
      <c r="B40" s="117"/>
      <c r="E40" s="169" t="s">
        <v>164</v>
      </c>
      <c r="F40" s="169"/>
      <c r="G40" s="169"/>
      <c r="H40" s="169"/>
      <c r="I40" s="172"/>
      <c r="J40" s="187">
        <f>IF(YEAR(E6)=J37,"Year of Loan",MAX(0,$J$39-(YEAR($E$6)-$J$37)+1))</f>
        <v>6</v>
      </c>
      <c r="L40" s="186"/>
      <c r="M40" s="113"/>
      <c r="N40" s="154"/>
      <c r="O40" s="112"/>
      <c r="P40" s="111"/>
    </row>
    <row r="41" spans="2:16" ht="17.25" customHeight="1">
      <c r="B41" s="117"/>
      <c r="E41" s="169" t="str">
        <f>IF(J39=J40,"Sum of the Loans Made in FY"&amp;J37&amp;" Year Before any Repayments were Made","Amount of the Loan Not Repaid by the End of the Prior Year")</f>
        <v>Sum of the Loans Made in FY2023 Year Before any Repayments were Made</v>
      </c>
      <c r="F41" s="169"/>
      <c r="G41" s="169"/>
      <c r="H41" s="169"/>
      <c r="I41" s="162"/>
      <c r="J41" s="185">
        <v>10000</v>
      </c>
      <c r="K41" s="184"/>
      <c r="L41" s="184"/>
      <c r="M41" s="113"/>
      <c r="N41" s="154"/>
      <c r="O41" s="112"/>
      <c r="P41" s="111"/>
    </row>
    <row r="42" spans="2:16" ht="17.25" customHeight="1">
      <c r="B42" s="117"/>
      <c r="E42" s="169" t="s">
        <v>163</v>
      </c>
      <c r="F42" s="169"/>
      <c r="G42" s="169"/>
      <c r="H42" s="169"/>
      <c r="I42" s="183"/>
      <c r="J42" s="182"/>
      <c r="M42" s="113"/>
      <c r="N42" s="154"/>
      <c r="O42" s="112"/>
      <c r="P42" s="111"/>
    </row>
    <row r="43" spans="2:16" ht="30" customHeight="1">
      <c r="B43" s="117"/>
      <c r="E43" s="169" t="s">
        <v>162</v>
      </c>
      <c r="F43" s="169"/>
      <c r="G43" s="169"/>
      <c r="H43" s="169"/>
      <c r="I43" s="172"/>
      <c r="J43" s="181">
        <f>IF($E$6="",0,VLOOKUP($E$6,Interest_Rate,4))</f>
        <v>8.2699999999999996E-2</v>
      </c>
      <c r="K43" s="180" t="s">
        <v>161</v>
      </c>
      <c r="L43" s="179"/>
      <c r="M43" s="113"/>
      <c r="N43" s="154"/>
      <c r="O43" s="112"/>
      <c r="P43" s="111"/>
    </row>
    <row r="44" spans="2:16" ht="17.25" customHeight="1">
      <c r="B44" s="117"/>
      <c r="E44" s="169" t="s">
        <v>160</v>
      </c>
      <c r="F44" s="169"/>
      <c r="G44" s="169"/>
      <c r="H44" s="169"/>
      <c r="I44" s="172"/>
      <c r="J44" s="63">
        <f>IF(J40=J40,ROUNDDOWN(IF(OR($J$43=0,$J$45&lt;=0,$J$40=0,$J$41&lt;=0),0,($J$45*$J$43)/(1-(1/(1+$J$43)^$J$40))),2),"")</f>
        <v>2180.9</v>
      </c>
      <c r="M44" s="113"/>
      <c r="N44" s="154"/>
      <c r="O44" s="112"/>
      <c r="P44" s="111"/>
    </row>
    <row r="45" spans="2:16" ht="17.25" customHeight="1">
      <c r="B45" s="117"/>
      <c r="E45" s="169" t="s">
        <v>159</v>
      </c>
      <c r="F45" s="169"/>
      <c r="G45" s="169"/>
      <c r="H45" s="169"/>
      <c r="I45" s="172"/>
      <c r="J45" s="63">
        <f>IF(J40="Year of Loan",0,IF(J39=J40,$J$41-SUMIF($F$63:$F$88,"&lt;"&amp;$J$42,$H$63:$H$88),J41))</f>
        <v>10000</v>
      </c>
      <c r="M45" s="113"/>
      <c r="N45" s="154"/>
      <c r="O45" s="112"/>
      <c r="P45" s="111"/>
    </row>
    <row r="46" spans="2:16" ht="16.899999999999999" customHeight="1">
      <c r="B46" s="117"/>
      <c r="E46" s="169" t="s">
        <v>158</v>
      </c>
      <c r="F46" s="169"/>
      <c r="G46" s="169"/>
      <c r="H46" s="169"/>
      <c r="I46" s="172"/>
      <c r="J46" s="63">
        <f>IF(J40="Year of Loan",(G90-H90),ROUNDDOWN($J$41-$H$90+$I$90,2))</f>
        <v>10827</v>
      </c>
      <c r="K46" s="178" t="str">
        <f>IF(J46=0,"",IF(J46&lt;=0.01,"Credit Account",""))</f>
        <v/>
      </c>
      <c r="L46" s="177"/>
      <c r="M46" s="113"/>
      <c r="N46" s="154"/>
      <c r="O46" s="112"/>
      <c r="P46" s="111"/>
    </row>
    <row r="47" spans="2:16" ht="7.5" customHeight="1">
      <c r="B47" s="117"/>
      <c r="E47" s="169"/>
      <c r="F47" s="169"/>
      <c r="G47" s="169"/>
      <c r="H47" s="169"/>
      <c r="I47" s="162"/>
      <c r="J47" s="176"/>
      <c r="K47" s="175"/>
      <c r="M47" s="113"/>
      <c r="N47" s="154"/>
      <c r="O47" s="174"/>
      <c r="P47" s="173"/>
    </row>
    <row r="48" spans="2:16" ht="17.25" customHeight="1">
      <c r="B48" s="117"/>
      <c r="E48" s="169" t="s">
        <v>157</v>
      </c>
      <c r="F48" s="169"/>
      <c r="G48" s="169"/>
      <c r="H48" s="169"/>
      <c r="I48" s="172"/>
      <c r="J48" s="63">
        <f>IF(J40="Year of Loan", "",G90)</f>
        <v>0</v>
      </c>
      <c r="K48" s="171" t="s">
        <v>156</v>
      </c>
      <c r="L48" s="170"/>
      <c r="M48" s="113"/>
      <c r="N48" s="154"/>
      <c r="O48" s="112"/>
      <c r="P48" s="111"/>
    </row>
    <row r="49" spans="1:16" ht="17.25" customHeight="1">
      <c r="B49" s="117"/>
      <c r="E49" s="169"/>
      <c r="F49" s="169"/>
      <c r="G49" s="169"/>
      <c r="H49" s="169"/>
      <c r="I49" s="162"/>
      <c r="J49" s="168"/>
      <c r="K49" s="160"/>
      <c r="L49" s="159"/>
      <c r="M49" s="113"/>
      <c r="N49" s="154"/>
      <c r="O49" s="167"/>
      <c r="P49" s="166"/>
    </row>
    <row r="50" spans="1:16" ht="17.25" customHeight="1">
      <c r="B50" s="117"/>
      <c r="E50" s="163" t="s">
        <v>155</v>
      </c>
      <c r="F50" s="163"/>
      <c r="G50" s="163"/>
      <c r="H50" s="163"/>
      <c r="I50" s="162"/>
      <c r="J50" s="165">
        <f>SingleCB_1</f>
        <v>10827</v>
      </c>
      <c r="K50" s="160"/>
      <c r="L50" s="159"/>
      <c r="M50" s="113"/>
      <c r="N50" s="154"/>
      <c r="O50" s="112"/>
      <c r="P50" s="111"/>
    </row>
    <row r="51" spans="1:16" ht="17.25" customHeight="1">
      <c r="B51" s="117"/>
      <c r="E51" s="163" t="s">
        <v>154</v>
      </c>
      <c r="F51" s="163"/>
      <c r="G51" s="163"/>
      <c r="H51" s="163"/>
      <c r="J51" s="164">
        <v>100000</v>
      </c>
      <c r="K51" s="160"/>
      <c r="L51" s="159"/>
      <c r="M51" s="113"/>
      <c r="N51" s="154"/>
      <c r="O51" s="112"/>
      <c r="P51" s="111"/>
    </row>
    <row r="52" spans="1:16" ht="17.25" customHeight="1">
      <c r="B52" s="117"/>
      <c r="E52" s="163" t="s">
        <v>153</v>
      </c>
      <c r="F52" s="163"/>
      <c r="G52" s="163"/>
      <c r="H52" s="163"/>
      <c r="I52" s="162"/>
      <c r="J52" s="161">
        <f>IF(AND(J50=0,J51=0),"",J51-J50)</f>
        <v>89173</v>
      </c>
      <c r="K52" s="160"/>
      <c r="L52" s="159"/>
      <c r="M52" s="113"/>
      <c r="N52" s="154"/>
      <c r="O52" s="112"/>
      <c r="P52" s="111"/>
    </row>
    <row r="53" spans="1:16" ht="7.5" customHeight="1">
      <c r="B53" s="158"/>
      <c r="C53" s="156"/>
      <c r="D53" s="156"/>
      <c r="E53" s="156"/>
      <c r="F53" s="156"/>
      <c r="G53" s="156"/>
      <c r="H53" s="156"/>
      <c r="I53" s="156"/>
      <c r="J53" s="157" t="str" cm="1">
        <f t="array" ref="J53">IF(J52="","Pending",IF(ABS(J52)&gt;Tm_Tolerance,"Out of Balance","Reconciled"))</f>
        <v>Out of Balance</v>
      </c>
      <c r="K53" s="156"/>
      <c r="L53" s="156"/>
      <c r="M53" s="155"/>
      <c r="N53" s="154"/>
    </row>
    <row r="54" spans="1:16" ht="22.5" customHeight="1">
      <c r="N54" s="154"/>
    </row>
    <row r="55" spans="1:16" ht="22.5" customHeight="1">
      <c r="A55" s="138" t="str">
        <f>IF(SUBTOTAL(103,A56),"-","+")</f>
        <v>-</v>
      </c>
      <c r="B55" s="137" t="s">
        <v>152</v>
      </c>
      <c r="C55" s="136"/>
      <c r="D55" s="136"/>
      <c r="E55" s="136"/>
      <c r="F55" s="136"/>
      <c r="G55" s="136"/>
      <c r="H55" s="135"/>
    </row>
    <row r="56" spans="1:16" ht="7.5" customHeight="1">
      <c r="A56" s="91" t="s">
        <v>59</v>
      </c>
      <c r="B56" s="153"/>
      <c r="C56" s="152"/>
      <c r="D56" s="152"/>
      <c r="E56" s="152"/>
      <c r="F56" s="152"/>
      <c r="G56" s="152"/>
      <c r="H56" s="152"/>
      <c r="I56" s="152"/>
      <c r="J56" s="152"/>
      <c r="K56" s="152"/>
      <c r="L56" s="152"/>
      <c r="M56" s="151"/>
    </row>
    <row r="57" spans="1:16" ht="17.25" customHeight="1">
      <c r="B57" s="117"/>
      <c r="E57" s="150" t="s">
        <v>151</v>
      </c>
      <c r="F57" s="149"/>
      <c r="G57" s="149"/>
      <c r="H57" s="149"/>
      <c r="I57" s="149"/>
      <c r="J57" s="149"/>
      <c r="K57" s="149"/>
      <c r="L57" s="149"/>
      <c r="M57" s="126"/>
    </row>
    <row r="58" spans="1:16" ht="30" customHeight="1">
      <c r="B58" s="117"/>
      <c r="E58" s="148" t="s">
        <v>150</v>
      </c>
      <c r="F58" s="148"/>
      <c r="G58" s="148"/>
      <c r="H58" s="148"/>
      <c r="I58" s="148"/>
      <c r="J58" s="148"/>
      <c r="K58" s="148"/>
      <c r="L58" s="148"/>
      <c r="M58" s="126"/>
    </row>
    <row r="59" spans="1:16" ht="7.5" customHeight="1">
      <c r="B59" s="117"/>
      <c r="M59" s="113"/>
    </row>
    <row r="60" spans="1:16" ht="45" customHeight="1">
      <c r="B60" s="117"/>
      <c r="F60" s="147" t="s">
        <v>149</v>
      </c>
      <c r="G60" s="123" t="s">
        <v>148</v>
      </c>
      <c r="H60" s="123" t="s">
        <v>147</v>
      </c>
      <c r="I60" s="123" t="s">
        <v>146</v>
      </c>
      <c r="J60" s="122" t="s">
        <v>145</v>
      </c>
      <c r="M60" s="113"/>
    </row>
    <row r="61" spans="1:16" ht="7.5" customHeight="1">
      <c r="B61" s="117"/>
      <c r="F61" s="121"/>
      <c r="G61" s="121"/>
      <c r="H61" s="121"/>
      <c r="I61" s="121"/>
      <c r="J61" s="121"/>
      <c r="M61" s="113"/>
    </row>
    <row r="62" spans="1:16" ht="17.25" customHeight="1">
      <c r="B62" s="117"/>
      <c r="F62" s="116">
        <f>IF($E$6="","",DATE(YEAR($E$6)-1,MONTH($E$6),DAY($E$6)+1))</f>
        <v>45108</v>
      </c>
      <c r="G62" s="146" t="s">
        <v>103</v>
      </c>
      <c r="H62" s="146"/>
      <c r="I62" s="146"/>
      <c r="J62" s="145">
        <f>J41</f>
        <v>10000</v>
      </c>
      <c r="K62" s="139"/>
      <c r="L62" s="139"/>
      <c r="M62" s="118"/>
      <c r="O62" s="112"/>
      <c r="P62" s="111"/>
    </row>
    <row r="63" spans="1:16" ht="16.899999999999999" customHeight="1">
      <c r="B63" s="117"/>
      <c r="F63" s="144"/>
      <c r="G63" s="143"/>
      <c r="H63" s="143"/>
      <c r="I63" s="63">
        <f>ROUND(IF(OR($J$43=0,$J$41=0,F63=0,F63&lt;$F$62,J62&lt;=0,$J$45&lt;=0),0,IF(AND($F$62&gt;=0,$J$41&gt;=0),($J$43*J62)/$J$38*(F63-F62),IF(AND(F63&lt;=$E$6,F62&gt;=$E$6-$J$38),0,$J$43*J62/$J$38*(F63-F62)))),2)</f>
        <v>0</v>
      </c>
      <c r="J63" s="63">
        <f>IF(J40="Year of Loan",(G63-H63),IF($J$41=0,IF(F63=0,0,J62+G63),IF(OR(F63=0,H63=0),J62,IF($J$62-SUM($H$63:H63)&lt;=0,0,J62-H63))))</f>
        <v>10000</v>
      </c>
      <c r="L63" s="139"/>
      <c r="M63" s="118"/>
      <c r="O63" s="112"/>
      <c r="P63" s="111"/>
    </row>
    <row r="64" spans="1:16" ht="16.899999999999999" customHeight="1">
      <c r="B64" s="117"/>
      <c r="F64" s="144"/>
      <c r="G64" s="143"/>
      <c r="H64" s="143"/>
      <c r="I64" s="63">
        <f>ROUND(IF(OR($J$43=0,$J$41=0,F64=0,F64&lt;$F$62,J63&lt;=0,$J$45&lt;=0),0,IF(AND($F$62&gt;=0,$J$41&gt;=0),($J$43*J63)/$J$38*(F64-F63),IF(AND(F64&lt;=$E$6,F63&gt;=$E$6-$J$38),0,$J$43*J63/$J$38*(F64-F63)))),2)</f>
        <v>0</v>
      </c>
      <c r="J64" s="63">
        <f>IF($J$40="Year of Loan",(J63+G64-H64),IF($J$41=0,IF(F64=0,0,J63+G64),IF(OR(F64=0,H64=0),J63,IF($J$62-SUM($H$63:H64)&lt;=0,0,J63-H64))))</f>
        <v>10000</v>
      </c>
      <c r="K64" s="141"/>
      <c r="L64" s="139"/>
      <c r="M64" s="118"/>
      <c r="O64" s="112"/>
      <c r="P64" s="111"/>
    </row>
    <row r="65" spans="2:16" ht="16.899999999999999" customHeight="1">
      <c r="B65" s="117"/>
      <c r="F65" s="144"/>
      <c r="G65" s="143"/>
      <c r="H65" s="143"/>
      <c r="I65" s="63">
        <f>ROUND(IF(OR($J$43=0,$J$41=0,F65=0,F65&lt;$F$62,J64&lt;=0,$J$45&lt;=0),0,IF(AND($F$62&gt;=0,$J$41&gt;=0),($J$43*J64)/$J$38*(F65-F64),IF(AND(F65&lt;=$E$6,F64&gt;=$E$6-$J$38),0,$J$43*J64/$J$38*(F65-F64)))),2)</f>
        <v>0</v>
      </c>
      <c r="J65" s="63">
        <f>IF($J$40="Year of Loan",(J64+G65-H65),IF($J$41=0,IF(F65=0,0,J64+G65),IF(OR(F65=0,H65=0),J64,IF($J$62-SUM($H$63:H65)&lt;=0,0,J64-H65))))</f>
        <v>10000</v>
      </c>
      <c r="K65" s="141"/>
      <c r="L65" s="139"/>
      <c r="M65" s="118"/>
      <c r="O65" s="112"/>
      <c r="P65" s="111"/>
    </row>
    <row r="66" spans="2:16" ht="16.899999999999999" customHeight="1">
      <c r="B66" s="117"/>
      <c r="F66" s="144"/>
      <c r="G66" s="143"/>
      <c r="H66" s="143"/>
      <c r="I66" s="63">
        <f>ROUND(IF(OR($J$43=0,$J$41=0,F66=0,F66&lt;$F$62,J65&lt;=0,$J$45&lt;=0),0,IF(AND($F$62&gt;=0,$J$41&gt;=0),($J$43*J65)/$J$38*(F66-F65),IF(AND(F66&lt;=$E$6,F65&gt;=$E$6-$J$38),0,$J$43*J65/$J$38*(F66-F65)))),2)</f>
        <v>0</v>
      </c>
      <c r="J66" s="63">
        <f>IF($J$40="Year of Loan",(J65+G66-H66),IF($J$41=0,IF(F66=0,0,J65+G66),IF(OR(F66=0,H66=0),J65,IF($J$62-SUM($H$63:H66)&lt;=0,0,J65-H66))))</f>
        <v>10000</v>
      </c>
      <c r="K66" s="141"/>
      <c r="L66" s="139"/>
      <c r="M66" s="118"/>
      <c r="O66" s="112"/>
      <c r="P66" s="111"/>
    </row>
    <row r="67" spans="2:16" ht="16.899999999999999" customHeight="1">
      <c r="B67" s="117"/>
      <c r="F67" s="144"/>
      <c r="G67" s="143"/>
      <c r="H67" s="143"/>
      <c r="I67" s="63">
        <f>ROUND(IF(OR($J$43=0,$J$41=0,F67=0,F67&lt;$F$62,J66&lt;=0,$J$45&lt;=0),0,IF(AND($F$62&gt;=0,$J$41&gt;=0),($J$43*J66)/$J$38*(F67-F66),IF(AND(F67&lt;=$E$6,F66&gt;=$E$6-$J$38),0,$J$43*J66/$J$38*(F67-F66)))),2)</f>
        <v>0</v>
      </c>
      <c r="J67" s="63">
        <f>IF($J$40="Year of Loan",(J66+G67-H67),IF($J$41=0,IF(F67=0,0,J66+G67),IF(OR(F67=0,H67=0),J66,IF($J$62-SUM($H$63:H67)&lt;=0,0,J66-H67))))</f>
        <v>10000</v>
      </c>
      <c r="K67" s="141"/>
      <c r="L67" s="139"/>
      <c r="M67" s="118"/>
      <c r="O67" s="112"/>
      <c r="P67" s="111"/>
    </row>
    <row r="68" spans="2:16" ht="16.899999999999999" customHeight="1">
      <c r="B68" s="117"/>
      <c r="F68" s="144"/>
      <c r="G68" s="143"/>
      <c r="H68" s="143"/>
      <c r="I68" s="63">
        <f>ROUND(IF(OR($J$43=0,$J$41=0,F68=0,F68&lt;$F$62,J67&lt;=0,$J$45&lt;=0),0,IF(AND($F$62&gt;=0,$J$41&gt;=0),($J$43*J67)/$J$38*(F68-F67),IF(AND(F68&lt;=$E$6,F67&gt;=$E$6-$J$38),0,$J$43*J67/$J$38*(F68-F67)))),2)</f>
        <v>0</v>
      </c>
      <c r="J68" s="63">
        <f>IF($J$40="Year of Loan",(J67+G68-H68),IF($J$41=0,IF(F68=0,0,J67+G68),IF(OR(F68=0,H68=0),J67,IF($J$62-SUM($H$63:H68)&lt;=0,0,J67-H68))))</f>
        <v>10000</v>
      </c>
      <c r="K68" s="141"/>
      <c r="L68" s="139"/>
      <c r="M68" s="118"/>
      <c r="O68" s="112"/>
      <c r="P68" s="111"/>
    </row>
    <row r="69" spans="2:16" ht="16.899999999999999" customHeight="1">
      <c r="B69" s="117"/>
      <c r="F69" s="144"/>
      <c r="G69" s="143"/>
      <c r="H69" s="143"/>
      <c r="I69" s="63">
        <f>ROUND(IF(OR($J$43=0,$J$41=0,F69=0,F69&lt;$F$62,J68&lt;=0,$J$45&lt;=0),0,IF(AND($F$62&gt;=0,$J$41&gt;=0),($J$43*J68)/$J$38*(F69-F68),IF(AND(F69&lt;=$E$6,F68&gt;=$E$6-$J$38),0,$J$43*J68/$J$38*(F69-F68)))),2)</f>
        <v>0</v>
      </c>
      <c r="J69" s="63">
        <f>IF($J$40="Year of Loan",(J68+G69-H69),IF($J$41=0,IF(F69=0,0,J68+G69),IF(OR(F69=0,H69=0),J68,IF($J$62-SUM($H$63:H69)&lt;=0,0,J68-H69))))</f>
        <v>10000</v>
      </c>
      <c r="L69" s="139"/>
      <c r="M69" s="118"/>
      <c r="O69" s="112"/>
      <c r="P69" s="111"/>
    </row>
    <row r="70" spans="2:16" ht="16.899999999999999" customHeight="1">
      <c r="B70" s="117"/>
      <c r="F70" s="144"/>
      <c r="G70" s="143"/>
      <c r="H70" s="143"/>
      <c r="I70" s="63">
        <f>ROUND(IF(OR($J$43=0,$J$41=0,F70=0,F70&lt;$F$62,J69&lt;=0,$J$45&lt;=0),0,IF(AND($F$62&gt;=0,$J$41&gt;=0),($J$43*J69)/$J$38*(F70-F69),IF(AND(F70&lt;=$E$6,F69&gt;=$E$6-$J$38),0,$J$43*J69/$J$38*(F70-F69)))),2)</f>
        <v>0</v>
      </c>
      <c r="J70" s="63">
        <f>IF($J$40="Year of Loan",(J69+G70-H70),IF($J$41=0,IF(F70=0,0,J69+G70),IF(OR(F70=0,H70=0),J69,IF($J$62-SUM($H$63:H70)&lt;=0,0,J69-H70))))</f>
        <v>10000</v>
      </c>
      <c r="K70" s="141"/>
      <c r="L70" s="139"/>
      <c r="M70" s="113"/>
      <c r="O70" s="112"/>
      <c r="P70" s="111"/>
    </row>
    <row r="71" spans="2:16" ht="16.899999999999999" customHeight="1">
      <c r="B71" s="117"/>
      <c r="F71" s="144"/>
      <c r="G71" s="143"/>
      <c r="H71" s="143"/>
      <c r="I71" s="63">
        <f>ROUND(IF(OR($J$43=0,$J$41=0,F71=0,F71&lt;$F$62,J70&lt;=0,$J$45&lt;=0),0,IF(AND($F$62&gt;=0,$J$41&gt;=0),($J$43*J70)/$J$38*(F71-F70),IF(AND(F71&lt;=$E$6,F70&gt;=$E$6-$J$38),0,$J$43*J70/$J$38*(F71-F70)))),2)</f>
        <v>0</v>
      </c>
      <c r="J71" s="63">
        <f>IF($J$40="Year of Loan",(J70+G71-H71),IF($J$41=0,IF(F71=0,0,J70+G71),IF(OR(F71=0,H71=0),J70,IF($J$62-SUM($H$63:H71)&lt;=0,0,J70-H71))))</f>
        <v>10000</v>
      </c>
      <c r="K71" s="141"/>
      <c r="L71" s="139"/>
      <c r="M71" s="113"/>
      <c r="O71" s="112"/>
      <c r="P71" s="111"/>
    </row>
    <row r="72" spans="2:16" ht="16.899999999999999" customHeight="1">
      <c r="B72" s="117"/>
      <c r="F72" s="144"/>
      <c r="G72" s="143"/>
      <c r="H72" s="143"/>
      <c r="I72" s="63">
        <f>ROUND(IF(OR($J$43=0,$J$41=0,F72=0,F72&lt;$F$62,J71&lt;=0,$J$45&lt;=0),0,IF(AND($F$62&gt;=0,$J$41&gt;=0),($J$43*J71)/$J$38*(F72-F71),IF(AND(F72&lt;=$E$6,F71&gt;=$E$6-$J$38),0,$J$43*J71/$J$38*(F72-F71)))),2)</f>
        <v>0</v>
      </c>
      <c r="J72" s="63">
        <f>IF($J$40="Year of Loan",(J71+G72-H72),IF($J$41=0,IF(F72=0,0,J71+G72),IF(OR(F72=0,H72=0),J71,IF($J$62-SUM($H$63:H72)&lt;=0,0,J71-H72))))</f>
        <v>10000</v>
      </c>
      <c r="K72" s="141"/>
      <c r="L72" s="139"/>
      <c r="M72" s="113"/>
      <c r="O72" s="112"/>
      <c r="P72" s="111"/>
    </row>
    <row r="73" spans="2:16" ht="16.899999999999999" customHeight="1">
      <c r="B73" s="117"/>
      <c r="F73" s="144"/>
      <c r="G73" s="143"/>
      <c r="H73" s="143"/>
      <c r="I73" s="63">
        <f>ROUND(IF(OR($J$43=0,$J$41=0,F73=0,F73&lt;$F$62,J72&lt;=0,$J$45&lt;=0),0,IF(AND($F$62&gt;=0,$J$41&gt;=0),($J$43*J72)/$J$38*(F73-F72),IF(AND(F73&lt;=$E$6,F72&gt;=$E$6-$J$38),0,$J$43*J72/$J$38*(F73-F72)))),2)</f>
        <v>0</v>
      </c>
      <c r="J73" s="63">
        <f>IF($J$40="Year of Loan",(J72+G73-H73),IF($J$41=0,IF(F73=0,0,J72+G73),IF(OR(F73=0,H73=0),J72,IF($J$62-SUM($H$63:H73)&lt;=0,0,J72-H73))))</f>
        <v>10000</v>
      </c>
      <c r="K73" s="141"/>
      <c r="L73" s="139"/>
      <c r="M73" s="113"/>
      <c r="O73" s="112"/>
      <c r="P73" s="111"/>
    </row>
    <row r="74" spans="2:16" ht="16.899999999999999" customHeight="1">
      <c r="B74" s="117"/>
      <c r="F74" s="144"/>
      <c r="G74" s="143"/>
      <c r="H74" s="143"/>
      <c r="I74" s="63">
        <f>ROUND(IF(OR($J$43=0,$J$41=0,F74=0,F74&lt;$F$62,J73&lt;=0,$J$45&lt;=0),0,IF(AND($F$62&gt;=0,$J$41&gt;=0),($J$43*J73)/$J$38*(F74-F73),IF(AND(F74&lt;=$E$6,F73&gt;=$E$6-$J$38),0,$J$43*J73/$J$38*(F74-F73)))),2)</f>
        <v>0</v>
      </c>
      <c r="J74" s="63">
        <f>IF($J$40="Year of Loan",(J73+G74-H74),IF($J$41=0,IF(F74=0,0,J73+G74),IF(OR(F74=0,H74=0),J73,IF($J$62-SUM($H$63:H74)&lt;=0,0,J73-H74))))</f>
        <v>10000</v>
      </c>
      <c r="K74" s="141"/>
      <c r="L74" s="139"/>
      <c r="M74" s="113"/>
      <c r="O74" s="112"/>
      <c r="P74" s="111"/>
    </row>
    <row r="75" spans="2:16" ht="16.899999999999999" customHeight="1">
      <c r="B75" s="117"/>
      <c r="F75" s="144"/>
      <c r="G75" s="143"/>
      <c r="H75" s="143"/>
      <c r="I75" s="63">
        <f>ROUND(IF(OR($J$43=0,$J$41=0,F75=0,F75&lt;$F$62,J74&lt;=0,$J$45&lt;=0),0,IF(AND($F$62&gt;=0,$J$41&gt;=0),($J$43*J74)/$J$38*(F75-F74),IF(AND(F75&lt;=$E$6,F74&gt;=$E$6-$J$38),0,$J$43*J74/$J$38*(F75-F74)))),2)</f>
        <v>0</v>
      </c>
      <c r="J75" s="63">
        <f>IF($J$40="Year of Loan",(J74+G75-H75),IF($J$41=0,IF(F75=0,0,J74+G75),IF(OR(F75=0,H75=0),J74,IF($J$62-SUM($H$63:H75)&lt;=0,0,J74-H75))))</f>
        <v>10000</v>
      </c>
      <c r="K75" s="141"/>
      <c r="L75" s="139"/>
      <c r="M75" s="113"/>
      <c r="O75" s="112"/>
      <c r="P75" s="111"/>
    </row>
    <row r="76" spans="2:16" ht="16.899999999999999" customHeight="1">
      <c r="B76" s="117"/>
      <c r="F76" s="144"/>
      <c r="G76" s="143"/>
      <c r="H76" s="143"/>
      <c r="I76" s="63">
        <f>ROUND(IF(OR($J$43=0,$J$41=0,F76=0,F76&lt;$F$62,J75&lt;=0,$J$45&lt;=0),0,IF(AND($F$62&gt;=0,$J$41&gt;=0),($J$43*J75)/$J$38*(F76-F75),IF(AND(F76&lt;=$E$6,F75&gt;=$E$6-$J$38),0,$J$43*J75/$J$38*(F76-F75)))),2)</f>
        <v>0</v>
      </c>
      <c r="J76" s="63">
        <f>IF($J$40="Year of Loan",(J75+G76-H76),IF($J$41=0,IF(F76=0,0,J75+G76),IF(OR(F76=0,H76=0),J75,IF($J$62-SUM($H$63:H76)&lt;=0,0,J75-H76))))</f>
        <v>10000</v>
      </c>
      <c r="K76" s="141"/>
      <c r="L76" s="139"/>
      <c r="M76" s="113"/>
      <c r="O76" s="112"/>
      <c r="P76" s="111"/>
    </row>
    <row r="77" spans="2:16" ht="16.899999999999999" customHeight="1">
      <c r="B77" s="117"/>
      <c r="F77" s="144"/>
      <c r="G77" s="143"/>
      <c r="H77" s="143"/>
      <c r="I77" s="63">
        <f>ROUND(IF(OR($J$43=0,$J$41=0,F77=0,F77&lt;$F$62,J76&lt;=0,$J$45&lt;=0),0,IF(AND($F$62&gt;=0,$J$41&gt;=0),($J$43*J76)/$J$38*(F77-F76),IF(AND(F77&lt;=$E$6,F76&gt;=$E$6-$J$38),0,$J$43*J76/$J$38*(F77-F76)))),2)</f>
        <v>0</v>
      </c>
      <c r="J77" s="63">
        <f>IF($J$40="Year of Loan",(J76+G77-H77),IF($J$41=0,IF(F77=0,0,J76+G77),IF(OR(F77=0,H77=0),J76,IF($J$62-SUM($H$63:H77)&lt;=0,0,J76-H77))))</f>
        <v>10000</v>
      </c>
      <c r="K77" s="141"/>
      <c r="L77" s="139"/>
      <c r="M77" s="113"/>
      <c r="O77" s="112"/>
      <c r="P77" s="111"/>
    </row>
    <row r="78" spans="2:16" ht="16.899999999999999" customHeight="1">
      <c r="B78" s="117"/>
      <c r="F78" s="144"/>
      <c r="G78" s="143"/>
      <c r="H78" s="143"/>
      <c r="I78" s="63">
        <f>ROUND(IF(OR($J$43=0,$J$41=0,F78=0,F78&lt;$F$62,J77&lt;=0,$J$45&lt;=0),0,IF(AND($F$62&gt;=0,$J$41&gt;=0),($J$43*J77)/$J$38*(F78-F77),IF(AND(F78&lt;=$E$6,F77&gt;=$E$6-$J$38),0,$J$43*J77/$J$38*(F78-F77)))),2)</f>
        <v>0</v>
      </c>
      <c r="J78" s="63">
        <f>IF($J$40="Year of Loan",(J77+G78-H78),IF($J$41=0,IF(F78=0,0,J77+G78),IF(OR(F78=0,H78=0),J77,IF($J$62-SUM($H$63:H78)&lt;=0,0,J77-H78))))</f>
        <v>10000</v>
      </c>
      <c r="K78" s="141"/>
      <c r="L78" s="139"/>
      <c r="M78" s="113"/>
      <c r="O78" s="112"/>
      <c r="P78" s="111"/>
    </row>
    <row r="79" spans="2:16" ht="16.899999999999999" customHeight="1">
      <c r="B79" s="117"/>
      <c r="F79" s="144"/>
      <c r="G79" s="143"/>
      <c r="H79" s="143"/>
      <c r="I79" s="63">
        <f>ROUND(IF(OR($J$43=0,$J$41=0,F79=0,F79&lt;$F$62,J78&lt;=0,$J$45&lt;=0),0,IF(AND($F$62&gt;=0,$J$41&gt;=0),($J$43*J78)/$J$38*(F79-F78),IF(AND(F79&lt;=$E$6,F78&gt;=$E$6-$J$38),0,$J$43*J78/$J$38*(F79-F78)))),2)</f>
        <v>0</v>
      </c>
      <c r="J79" s="63">
        <f>IF($J$40="Year of Loan",(J78+G79-H79),IF($J$41=0,IF(F79=0,0,J78+G79),IF(OR(F79=0,H79=0),J78,IF($J$62-SUM($H$63:H79)&lt;=0,0,J78-H79))))</f>
        <v>10000</v>
      </c>
      <c r="K79" s="141"/>
      <c r="L79" s="139"/>
      <c r="M79" s="113"/>
      <c r="O79" s="112"/>
      <c r="P79" s="111"/>
    </row>
    <row r="80" spans="2:16" ht="16.899999999999999" customHeight="1">
      <c r="B80" s="117"/>
      <c r="F80" s="144"/>
      <c r="G80" s="143"/>
      <c r="H80" s="143"/>
      <c r="I80" s="63">
        <f>ROUND(IF(OR($J$43=0,$J$41=0,F80=0,F80&lt;$F$62,J79&lt;=0,$J$45&lt;=0),0,IF(AND($F$62&gt;=0,$J$41&gt;=0),($J$43*J79)/$J$38*(F80-F79),IF(AND(F80&lt;=$E$6,F79&gt;=$E$6-$J$38),0,$J$43*J79/$J$38*(F80-F79)))),2)</f>
        <v>0</v>
      </c>
      <c r="J80" s="63">
        <f>IF($J$40="Year of Loan",(J79+G80-H80),IF($J$41=0,IF(F80=0,0,J79+G80),IF(OR(F80=0,H80=0),J79,IF($J$62-SUM($H$63:H80)&lt;=0,0,J79-H80))))</f>
        <v>10000</v>
      </c>
      <c r="K80" s="141"/>
      <c r="L80" s="139"/>
      <c r="M80" s="113"/>
      <c r="O80" s="112"/>
      <c r="P80" s="111"/>
    </row>
    <row r="81" spans="1:16" ht="16.899999999999999" customHeight="1">
      <c r="B81" s="117"/>
      <c r="F81" s="144"/>
      <c r="G81" s="143"/>
      <c r="H81" s="143"/>
      <c r="I81" s="63">
        <f>ROUND(IF(OR($J$43=0,$J$41=0,F81=0,F81&lt;$F$62,J80&lt;=0,$J$45&lt;=0),0,IF(AND($F$62&gt;=0,$J$41&gt;=0),($J$43*J80)/$J$38*(F81-F80),IF(AND(F81&lt;=$E$6,F80&gt;=$E$6-$J$38),0,$J$43*J80/$J$38*(F81-F80)))),2)</f>
        <v>0</v>
      </c>
      <c r="J81" s="63">
        <f>IF($J$40="Year of Loan",(J80+G81-H81),IF($J$41=0,IF(F81=0,0,J80+G81),IF(OR(F81=0,H81=0),J80,IF($J$62-SUM($H$63:H81)&lt;=0,0,J80-H81))))</f>
        <v>10000</v>
      </c>
      <c r="K81" s="141"/>
      <c r="L81" s="139"/>
      <c r="M81" s="126"/>
      <c r="O81" s="112"/>
      <c r="P81" s="111"/>
    </row>
    <row r="82" spans="1:16" ht="16.899999999999999" customHeight="1">
      <c r="B82" s="117"/>
      <c r="F82" s="144"/>
      <c r="G82" s="143"/>
      <c r="H82" s="143"/>
      <c r="I82" s="63">
        <f>ROUND(IF(OR($J$43=0,$J$41=0,F82=0,F82&lt;$F$62,J81&lt;=0,$J$45&lt;=0),0,IF(AND($F$62&gt;=0,$J$41&gt;=0),($J$43*J81)/$J$38*(F82-F81),IF(AND(F82&lt;=$E$6,F81&gt;=$E$6-$J$38),0,$J$43*J81/$J$38*(F82-F81)))),2)</f>
        <v>0</v>
      </c>
      <c r="J82" s="63">
        <f>IF($J$40="Year of Loan",(J81+G82-H82),IF($J$41=0,IF(F82=0,0,J81+G82),IF(OR(F82=0,H82=0),J81,IF($J$62-SUM($H$63:H82)&lt;=0,0,J81-H82))))</f>
        <v>10000</v>
      </c>
      <c r="K82" s="141"/>
      <c r="L82" s="139"/>
      <c r="M82" s="126"/>
      <c r="O82" s="112"/>
      <c r="P82" s="111"/>
    </row>
    <row r="83" spans="1:16" ht="16.899999999999999" customHeight="1">
      <c r="B83" s="117"/>
      <c r="F83" s="144"/>
      <c r="G83" s="143"/>
      <c r="H83" s="143"/>
      <c r="I83" s="63">
        <f>ROUND(IF(OR($J$43=0,$J$41=0,F83=0,F83&lt;$F$62,J82&lt;=0,$J$45&lt;=0),0,IF(AND($F$62&gt;=0,$J$41&gt;=0),($J$43*J82)/$J$38*(F83-F82),IF(AND(F83&lt;=$E$6,F82&gt;=$E$6-$J$38),0,$J$43*J82/$J$38*(F83-F82)))),2)</f>
        <v>0</v>
      </c>
      <c r="J83" s="63">
        <f>IF($J$40="Year of Loan",(J82+G83-H83),IF($J$41=0,IF(F83=0,0,J82+G83),IF(OR(F83=0,H83=0),J82,IF($J$62-SUM($H$63:H83)&lt;=0,0,J82-H83))))</f>
        <v>10000</v>
      </c>
      <c r="K83" s="141"/>
      <c r="L83" s="139"/>
      <c r="M83" s="113"/>
      <c r="O83" s="112"/>
      <c r="P83" s="111"/>
    </row>
    <row r="84" spans="1:16" ht="16.899999999999999" customHeight="1">
      <c r="B84" s="117"/>
      <c r="F84" s="144"/>
      <c r="G84" s="143"/>
      <c r="H84" s="143"/>
      <c r="I84" s="63">
        <f>ROUND(IF(OR($J$43=0,$J$41=0,F84=0,F84&lt;$F$62,J83&lt;=0,$J$45&lt;=0),0,IF(AND($F$62&gt;=0,$J$41&gt;=0),($J$43*J83)/$J$38*(F84-F83),IF(AND(F84&lt;=$E$6,F83&gt;=$E$6-$J$38),0,$J$43*J83/$J$38*(F84-F83)))),2)</f>
        <v>0</v>
      </c>
      <c r="J84" s="63">
        <f>IF($J$40="Year of Loan",(J83+G84-H84),IF($J$41=0,IF(F84=0,0,J83+G84),IF(OR(F84=0,H84=0),J83,IF($J$62-SUM($H$63:H84)&lt;=0,0,J83-H84))))</f>
        <v>10000</v>
      </c>
      <c r="K84" s="141"/>
      <c r="L84" s="139"/>
      <c r="M84" s="113"/>
      <c r="O84" s="112"/>
      <c r="P84" s="111"/>
    </row>
    <row r="85" spans="1:16" ht="16.899999999999999" customHeight="1">
      <c r="B85" s="117"/>
      <c r="F85" s="144"/>
      <c r="G85" s="143"/>
      <c r="H85" s="143"/>
      <c r="I85" s="63">
        <f>ROUND(IF(OR($J$43=0,$J$41=0,F85=0,F85&lt;$F$62,J84&lt;=0,$J$45&lt;=0),0,IF(AND($F$62&gt;=0,$J$41&gt;=0),($J$43*J84)/$J$38*(F85-F84),IF(AND(F85&lt;=$E$6,F84&gt;=$E$6-$J$38),0,$J$43*J84/$J$38*(F85-F84)))),2)</f>
        <v>0</v>
      </c>
      <c r="J85" s="63">
        <f>IF($J$40="Year of Loan",(J84+G85-H85),IF($J$41=0,IF(F85=0,0,J84+G85),IF(OR(F85=0,H85=0),J84,IF($J$62-SUM($H$63:H85)&lt;=0,0,J84-H85))))</f>
        <v>10000</v>
      </c>
      <c r="K85" s="141"/>
      <c r="L85" s="139"/>
      <c r="M85" s="113"/>
      <c r="O85" s="112"/>
      <c r="P85" s="111"/>
    </row>
    <row r="86" spans="1:16" ht="16.899999999999999" customHeight="1">
      <c r="B86" s="117"/>
      <c r="F86" s="144"/>
      <c r="G86" s="143"/>
      <c r="H86" s="143"/>
      <c r="I86" s="63">
        <f>ROUND(IF(OR($J$43=0,$J$41=0,F86=0,F86&lt;$F$62,J85&lt;=0,$J$45&lt;=0),0,IF(AND($F$62&gt;=0,$J$41&gt;=0),($J$43*J85)/$J$38*(F86-F85),IF(AND(F86&lt;=$E$6,F85&gt;=$E$6-$J$38),0,$J$43*J85/$J$38*(F86-F85)))),2)</f>
        <v>0</v>
      </c>
      <c r="J86" s="63">
        <f>IF($J$40="Year of Loan",(J85+G86-H86),IF($J$41=0,IF(F86=0,0,J85+G86),IF(OR(F86=0,H86=0),J85,IF($J$62-SUM($H$63:H86)&lt;=0,0,J85-H86))))</f>
        <v>10000</v>
      </c>
      <c r="K86" s="141"/>
      <c r="L86" s="139"/>
      <c r="M86" s="113"/>
      <c r="O86" s="112"/>
      <c r="P86" s="111"/>
    </row>
    <row r="87" spans="1:16" ht="16.899999999999999" customHeight="1">
      <c r="B87" s="117"/>
      <c r="F87" s="144"/>
      <c r="G87" s="143"/>
      <c r="H87" s="143"/>
      <c r="I87" s="63">
        <f>ROUND(IF(OR($J$43=0,$J$41=0,F87=0,F87&lt;$F$62,J86&lt;=0,$J$45&lt;=0),0,IF(AND($F$62&gt;=0,$J$41&gt;=0),($J$43*J86)/$J$38*(F87-F86),IF(AND(F87&lt;=$E$6,F86&gt;=$E$6-$J$38),0,$J$43*J86/$J$38*(F87-F86)))),2)</f>
        <v>0</v>
      </c>
      <c r="J87" s="63">
        <f>IF($J$40="Year of Loan",(J86+G87-H87),IF($J$41=0,IF(F87=0,0,J86+G87),IF(OR(F87=0,H87=0),J86,IF($J$62-SUM($H$63:H87)&lt;=0,0,J86-H87))))</f>
        <v>10000</v>
      </c>
      <c r="K87" s="141"/>
      <c r="L87" s="139"/>
      <c r="M87" s="113"/>
      <c r="O87" s="112"/>
      <c r="P87" s="111"/>
    </row>
    <row r="88" spans="1:16" ht="16.899999999999999" customHeight="1">
      <c r="B88" s="117"/>
      <c r="F88" s="144"/>
      <c r="G88" s="143"/>
      <c r="H88" s="143"/>
      <c r="I88" s="63">
        <f>ROUND(IF(OR($J$43=0,$J$41=0,F88=0,F88&lt;$F$62,J87&lt;=0,$J$45&lt;=0),0,IF(AND($F$62&gt;=0,$J$41&gt;=0),($J$43*J87)/$J$38*(F88-F87),IF(AND(F88&lt;=$E$6,F87&gt;=$E$6-$J$38),0,$J$43*J87/$J$38*(F88-F87)))),2)</f>
        <v>0</v>
      </c>
      <c r="J88" s="63">
        <f>IF($J$40="Year of Loan",(J87+G88-H88),IF($J$41=0,IF(F88=0,0,J87+G88),IF(OR(F88=0,H88=0),J87,IF($J$62-SUM($H$63:H88)&lt;=0,0,J87-H88))))</f>
        <v>10000</v>
      </c>
      <c r="K88" s="141"/>
      <c r="L88" s="139"/>
      <c r="M88" s="113"/>
      <c r="O88" s="112"/>
      <c r="P88" s="111"/>
    </row>
    <row r="89" spans="1:16" ht="16.899999999999999" customHeight="1">
      <c r="B89" s="117"/>
      <c r="F89" s="142">
        <f>$E$6</f>
        <v>45473</v>
      </c>
      <c r="I89" s="63">
        <f>IF(J40="Year of Loan", 0, IF($J$41=0,0,IF(ISERROR(IF($J$43=0,0,($J$43*VLOOKUP(F89,F63:J88,5)/J38))),IF($J$62&gt;0,$J$62*$J$43,0),IF($J$43=0,0,($J$43*(VLOOKUP(F89,F63:J88,5)/J38)*(F89-VLOOKUP(F89,F63:J88,1)+1))))))</f>
        <v>827</v>
      </c>
      <c r="K89" s="141"/>
      <c r="L89" s="139"/>
      <c r="M89" s="113"/>
      <c r="O89" s="112"/>
      <c r="P89" s="111"/>
    </row>
    <row r="90" spans="1:16" ht="16.899999999999999" customHeight="1">
      <c r="B90" s="117"/>
      <c r="G90" s="140">
        <f>SUM(G63:G89)</f>
        <v>0</v>
      </c>
      <c r="H90" s="140">
        <f>SUM(H63:H89)</f>
        <v>0</v>
      </c>
      <c r="I90" s="140">
        <f>ROUNDDOWN(SUM(I63:I89),2)</f>
        <v>827</v>
      </c>
      <c r="J90" s="139"/>
      <c r="M90" s="113"/>
      <c r="O90" s="112"/>
      <c r="P90" s="111"/>
    </row>
    <row r="91" spans="1:16" ht="7.5" customHeight="1">
      <c r="B91" s="110"/>
      <c r="C91" s="109"/>
      <c r="D91" s="109"/>
      <c r="E91" s="109"/>
      <c r="F91" s="109"/>
      <c r="G91" s="109"/>
      <c r="H91" s="109"/>
      <c r="I91" s="109"/>
      <c r="J91" s="109"/>
      <c r="K91" s="109"/>
      <c r="L91" s="109"/>
      <c r="M91" s="108"/>
    </row>
    <row r="92" spans="1:16" ht="22.5" customHeight="1"/>
    <row r="93" spans="1:16" ht="22.5" customHeight="1">
      <c r="A93" s="138" t="str">
        <f>IF(SUBTOTAL(103,A94),"-","+")</f>
        <v>-</v>
      </c>
      <c r="B93" s="137" t="s">
        <v>144</v>
      </c>
      <c r="C93" s="136"/>
      <c r="D93" s="136"/>
      <c r="E93" s="136"/>
      <c r="F93" s="136"/>
      <c r="G93" s="136"/>
      <c r="H93" s="135"/>
      <c r="I93" s="134"/>
      <c r="J93" s="134"/>
      <c r="K93" s="134"/>
      <c r="L93" s="134"/>
      <c r="M93" s="133"/>
    </row>
    <row r="94" spans="1:16" ht="7.5" customHeight="1">
      <c r="A94" s="91" t="s">
        <v>59</v>
      </c>
      <c r="B94" s="132"/>
      <c r="C94" s="131"/>
      <c r="D94" s="131"/>
      <c r="E94" s="131"/>
      <c r="F94" s="131"/>
      <c r="G94" s="131"/>
      <c r="H94" s="130"/>
      <c r="I94" s="130"/>
      <c r="J94" s="130"/>
      <c r="K94" s="130"/>
      <c r="L94" s="130"/>
      <c r="M94" s="129"/>
    </row>
    <row r="95" spans="1:16" ht="30" customHeight="1">
      <c r="B95" s="117"/>
      <c r="E95" s="128" t="s">
        <v>143</v>
      </c>
      <c r="F95" s="127"/>
      <c r="G95" s="127"/>
      <c r="H95" s="127"/>
      <c r="I95" s="127"/>
      <c r="J95" s="127"/>
      <c r="K95" s="127"/>
      <c r="L95" s="127"/>
      <c r="M95" s="126"/>
    </row>
    <row r="96" spans="1:16" ht="17.25" customHeight="1">
      <c r="B96" s="117"/>
      <c r="M96" s="113"/>
    </row>
    <row r="97" spans="2:16" ht="35.1" customHeight="1">
      <c r="B97" s="117"/>
      <c r="C97" s="113"/>
      <c r="D97" s="123" t="s">
        <v>142</v>
      </c>
      <c r="E97" s="125" t="s">
        <v>141</v>
      </c>
      <c r="F97" s="124"/>
      <c r="G97" s="123" t="s">
        <v>103</v>
      </c>
      <c r="H97" s="123" t="s">
        <v>140</v>
      </c>
      <c r="I97" s="123" t="s">
        <v>139</v>
      </c>
      <c r="J97" s="123" t="s">
        <v>138</v>
      </c>
      <c r="K97" s="123" t="s">
        <v>101</v>
      </c>
      <c r="L97" s="122" t="s">
        <v>100</v>
      </c>
      <c r="M97" s="113"/>
    </row>
    <row r="98" spans="2:16" ht="7.5" customHeight="1">
      <c r="B98" s="117"/>
      <c r="E98" s="121"/>
      <c r="F98" s="121"/>
      <c r="G98" s="121"/>
      <c r="H98" s="121"/>
      <c r="I98" s="121"/>
      <c r="J98" s="121"/>
      <c r="K98" s="121"/>
      <c r="L98" s="121"/>
      <c r="M98" s="113"/>
    </row>
    <row r="99" spans="2:16" ht="17.25" customHeight="1">
      <c r="B99" s="117"/>
      <c r="C99" s="120" t="str">
        <f>$F$34</f>
        <v>Director Loan - 2023</v>
      </c>
      <c r="D99" s="119" t="str">
        <f>J35</f>
        <v>Director A</v>
      </c>
      <c r="E99" s="116">
        <f>IF(AND(J40="Year of Loan",SingleCB_1&gt;0),$E$6,IF(OR($J$40=0,$J$41&lt;=0,$E$6=""),"",$E$6))</f>
        <v>45473</v>
      </c>
      <c r="F99" s="115">
        <f>IF(E99="","",IF($J$41&gt;0,J39-J40+1,IF(J40="year of Loan",0,0)))</f>
        <v>1</v>
      </c>
      <c r="G99" s="63">
        <f>IF(J40="Year of Loan",0,IF($J$41&lt;=0,0,$J$41))</f>
        <v>10000</v>
      </c>
      <c r="H99" s="63">
        <f>IF(J40="Year of Loan",0,IF($J$41=0,0,$H$90))</f>
        <v>0</v>
      </c>
      <c r="I99" s="63">
        <f>IF(J40="Year of Loan", 0, ROUND(IF(E99=0,0,IF(J99=0,0,H99-J99)),2))</f>
        <v>-2180.9</v>
      </c>
      <c r="J99" s="63">
        <f>IF(J40="Year of Loan",0,J44)</f>
        <v>2180.9</v>
      </c>
      <c r="K99" s="63">
        <f>IF(J40="Year of Loan",0,IF($J$45&lt;=0,0,$I$90))</f>
        <v>827</v>
      </c>
      <c r="L99" s="63">
        <f>SingleCB_1</f>
        <v>10827</v>
      </c>
      <c r="M99" s="118"/>
      <c r="O99" s="112"/>
      <c r="P99" s="111"/>
    </row>
    <row r="100" spans="2:16" ht="17.25" customHeight="1">
      <c r="B100" s="117"/>
      <c r="E100" s="116">
        <f>IF(OR(E99="",L99=0),"",IF($J$40&lt;2,"",E99+J129))</f>
        <v>45838</v>
      </c>
      <c r="F100" s="115">
        <f>IF(E100="","",F99+1)</f>
        <v>2</v>
      </c>
      <c r="G100" s="63">
        <f>IF(L99&lt;=1,0,IF($J$40="year of Loan",L99,IF(OR($J$45=0,E100=""),0,L99)))</f>
        <v>10827</v>
      </c>
      <c r="H100" s="114"/>
      <c r="I100" s="114"/>
      <c r="J100" s="63">
        <f>IFERROR(IF($J$40&lt;H129,0,IF($J$40="year of Loan",(G100*I129)/(1-(1/(1+I129)^($J$39-(H129-1)*1))),IF($J$40=H129,G100+K100,(G100*I129)/(1-(1/(1+I129))^($J$40-(H129-1)*1))))),0)</f>
        <v>2766.948339737351</v>
      </c>
      <c r="K100" s="63">
        <f>IF(G100=0,0,G100*I129)</f>
        <v>949.52790000000005</v>
      </c>
      <c r="L100" s="63">
        <f>IF(ISBLANK($J$40),0,IF(AND(G100=0,K100=0),0,ROUND(IF(G100+K100&lt;=0.01,0,G100-J100+K100),2)))</f>
        <v>9009.58</v>
      </c>
      <c r="M100" s="113"/>
      <c r="O100" s="112"/>
      <c r="P100" s="111"/>
    </row>
    <row r="101" spans="2:16" ht="17.25" customHeight="1">
      <c r="B101" s="117"/>
      <c r="E101" s="116">
        <f>IF(OR(E100="",L100=0),"",IF($J$40&lt;2,"",E100+J130))</f>
        <v>46203</v>
      </c>
      <c r="F101" s="115">
        <f>IF(E101="","",F100+1)</f>
        <v>3</v>
      </c>
      <c r="G101" s="63">
        <f>IF(L100&lt;=1,0,IF($J$40="year of Loan",L100,IF(OR($J$45=0,E101=""),0,L100)))</f>
        <v>9009.58</v>
      </c>
      <c r="I101" s="114"/>
      <c r="J101" s="63">
        <f>IFERROR(IF($J$40&lt;H130,0,IF($J$40="year of Loan",(G101*I130)/(1-(1/(1+I130)^($J$39-(H130-1)*1))),IF($J$40=H130,G101+K101,(G101*I130)/(1-(1/(1+I130))^($J$40-(H130-1)*1))))),0)</f>
        <v>2766.9484747858864</v>
      </c>
      <c r="K101" s="63">
        <f>IF(G101=0,0,G101*I130)</f>
        <v>790.14016600000002</v>
      </c>
      <c r="L101" s="63">
        <f>IF(ISBLANK($J$40),0,IF(AND(G101=0,K101=0),0,ROUND(IF(G101+K101&lt;=0.01,0,G101-J101+K101),2)))</f>
        <v>7032.77</v>
      </c>
      <c r="M101" s="113"/>
      <c r="O101" s="112"/>
      <c r="P101" s="111"/>
    </row>
    <row r="102" spans="2:16" ht="17.25" customHeight="1">
      <c r="B102" s="117"/>
      <c r="E102" s="116">
        <f>IF(OR(E101="",L101=0),"",IF($J$40&lt;2,"",E101+J131))</f>
        <v>46568</v>
      </c>
      <c r="F102" s="115">
        <f>IF(E102="","",F101+1)</f>
        <v>4</v>
      </c>
      <c r="G102" s="63">
        <f>IF(L101&lt;=1,0,IF($J$40="year of Loan",L101,IF(OR($J$45=0,E102=""),0,L101)))</f>
        <v>7032.77</v>
      </c>
      <c r="I102" s="114"/>
      <c r="J102" s="63">
        <f>IFERROR(IF($J$40&lt;H131,0,IF($J$40="year of Loan",(G102*I131)/(1-(1/(1+I131)^($J$39-(H131-1)*1))),IF($J$40=H131,G102+K102,(G102*I131)/(1-(1/(1+I131))^($J$40-(H131-1)*1))))),0)</f>
        <v>2766.9478094006699</v>
      </c>
      <c r="K102" s="63">
        <f>IF(G102=0,0,G102*I131)</f>
        <v>616.77392900000007</v>
      </c>
      <c r="L102" s="63">
        <f>IF(ISBLANK($J$40),0,IF(AND(G102=0,K102=0),0,ROUND(IF(G102+K102&lt;=0.01,0,G102-J102+K102),2)))</f>
        <v>4882.6000000000004</v>
      </c>
      <c r="M102" s="113"/>
      <c r="O102" s="112"/>
      <c r="P102" s="111"/>
    </row>
    <row r="103" spans="2:16" ht="17.25" customHeight="1">
      <c r="B103" s="117"/>
      <c r="E103" s="116">
        <f>IF(OR(E102="",L102=0),"",IF($J$40&lt;2,"",E102+J132))</f>
        <v>46934</v>
      </c>
      <c r="F103" s="115">
        <f>IF(E103="","",F102+1)</f>
        <v>5</v>
      </c>
      <c r="G103" s="63">
        <f>IF(L102&lt;=1,0,IF($J$40="year of Loan",L102,IF(OR($J$45=0,E103=""),0,L102)))</f>
        <v>4882.6000000000004</v>
      </c>
      <c r="I103" s="114"/>
      <c r="J103" s="63">
        <f>IFERROR(IF($J$40&lt;H132,0,IF($J$40="year of Loan",(G103*I132)/(1-(1/(1+I132)^($J$39-(H132-1)*1))),IF($J$40=H132,G103+K103,(G103*I132)/(1-(1/(1+I132))^($J$40-(H132-1)*1))))),0)</f>
        <v>2766.9500084083002</v>
      </c>
      <c r="K103" s="63">
        <f>IF(G103=0,0,G103*I132)</f>
        <v>428.20402000000001</v>
      </c>
      <c r="L103" s="63">
        <f>IF(ISBLANK($J$40),0,IF(AND(G103=0,K103=0),0,ROUND(IF(G103+K103&lt;=0.01,0,G103-J103+K103),2)))</f>
        <v>2543.85</v>
      </c>
      <c r="M103" s="113"/>
      <c r="O103" s="112"/>
      <c r="P103" s="111"/>
    </row>
    <row r="104" spans="2:16" ht="17.25" customHeight="1">
      <c r="B104" s="117"/>
      <c r="E104" s="116">
        <f>IF(OR(E103="",L103=0),"",IF($J$40&lt;2,"",E103+J133))</f>
        <v>47299</v>
      </c>
      <c r="F104" s="115">
        <f>IF(E104="","",F103+1)</f>
        <v>6</v>
      </c>
      <c r="G104" s="63">
        <f>IF(L103&lt;=1,0,IF($J$40="year of Loan",L103,IF(OR($J$45=0,E104=""),0,L103)))</f>
        <v>2543.85</v>
      </c>
      <c r="I104" s="114"/>
      <c r="J104" s="63">
        <f>IFERROR(IF($J$40&lt;H133,0,IF($J$40="year of Loan",(G104*I133)/(1-(1/(1+I133)^($J$39-(H133-1)*1))),IF($J$40=H133,G104+K104,(G104*I133)/(1-(1/(1+I133))^($J$40-(H133-1)*1))))),0)</f>
        <v>2766.9456449999998</v>
      </c>
      <c r="K104" s="63">
        <f>IF(G104=0,0,G104*I133)</f>
        <v>223.09564499999999</v>
      </c>
      <c r="L104" s="63">
        <f>IF(ISBLANK($J$40),0,IF(AND(G104=0,K104=0),0,ROUND(IF(G104+K104&lt;=0.01,0,G104-J104+K104),2)))</f>
        <v>0</v>
      </c>
      <c r="M104" s="113"/>
      <c r="O104" s="112"/>
      <c r="P104" s="111"/>
    </row>
    <row r="105" spans="2:16" ht="17.25" customHeight="1">
      <c r="B105" s="117"/>
      <c r="E105" s="116" t="str">
        <f>IF(OR(E104="",L104=0),"",IF($J$40&lt;2,"",E104+J134))</f>
        <v/>
      </c>
      <c r="F105" s="115" t="str">
        <f>IF(E105="","",F104+1)</f>
        <v/>
      </c>
      <c r="G105" s="63">
        <f>IF(L104&lt;=1,0,IF($J$40="year of Loan",L104,IF(OR($J$45=0,E105=""),0,L104)))</f>
        <v>0</v>
      </c>
      <c r="I105" s="114"/>
      <c r="J105" s="63">
        <f>IFERROR(IF($J$40&lt;H134,0,IF($J$40="year of Loan",(G105*I134)/(1-(1/(1+I134)^($J$39-(H134-1)*1))),IF($J$40=H134,G105+K105,(G105*I134)/(1-(1/(1+I134))^($J$40-(H134-1)*1))))),0)</f>
        <v>0</v>
      </c>
      <c r="K105" s="63">
        <f>IF(G105=0,0,G105*I134)</f>
        <v>0</v>
      </c>
      <c r="L105" s="63">
        <f>IF(ISBLANK($J$40),0,IF(AND(G105=0,K105=0),0,ROUND(IF(G105+K105&lt;=0.01,0,G105-J105+K105),2)))</f>
        <v>0</v>
      </c>
      <c r="M105" s="113"/>
      <c r="O105" s="112"/>
      <c r="P105" s="111"/>
    </row>
    <row r="106" spans="2:16" ht="17.25" customHeight="1">
      <c r="B106" s="117"/>
      <c r="E106" s="116" t="str">
        <f>IF(OR(E105="",L105=0),"",IF($J$40&lt;2,"",E105+J135))</f>
        <v/>
      </c>
      <c r="F106" s="115" t="str">
        <f>IF(E106="","",F105+1)</f>
        <v/>
      </c>
      <c r="G106" s="63">
        <f>IF(L105&lt;=1,0,IF($J$40="year of Loan",L105,IF(OR($J$45=0,E106=""),0,L105)))</f>
        <v>0</v>
      </c>
      <c r="I106" s="114"/>
      <c r="J106" s="63">
        <f>IFERROR(IF($J$40&lt;H135,0,IF($J$40="year of Loan",(G106*I135)/(1-(1/(1+I135)^($J$39-(H135-1)*1))),IF($J$40=H135,G106+K106,(G106*I135)/(1-(1/(1+I135))^($J$40-(H135-1)*1))))),0)</f>
        <v>0</v>
      </c>
      <c r="K106" s="63">
        <f>IF(G106=0,0,G106*I135)</f>
        <v>0</v>
      </c>
      <c r="L106" s="63">
        <f>IF(ISBLANK($J$40),0,IF(AND(G106=0,K106=0),0,ROUND(IF(G106+K106&lt;=0.01,0,G106-J106+K106),2)))</f>
        <v>0</v>
      </c>
      <c r="M106" s="113"/>
      <c r="O106" s="112"/>
      <c r="P106" s="111"/>
    </row>
    <row r="107" spans="2:16" ht="17.25" customHeight="1">
      <c r="B107" s="117"/>
      <c r="E107" s="116" t="str">
        <f>IF(OR(E106="",L106=0),"",IF($J$40&lt;2,"",E106+J136))</f>
        <v/>
      </c>
      <c r="F107" s="115" t="str">
        <f>IF(E107="","",F106+1)</f>
        <v/>
      </c>
      <c r="G107" s="63">
        <f>IF(L106&lt;=1,0,IF($J$40="year of Loan",L106,IF(OR($J$45=0,E107=""),0,L106)))</f>
        <v>0</v>
      </c>
      <c r="I107" s="114"/>
      <c r="J107" s="63">
        <f>IFERROR(IF($J$40&lt;H136,0,IF($J$40="year of Loan",(G107*I136)/(1-(1/(1+I136)^($J$39-(H136-1)*1))),IF($J$40=H136,G107+K107,(G107*I136)/(1-(1/(1+I136))^($J$40-(H136-1)*1))))),0)</f>
        <v>0</v>
      </c>
      <c r="K107" s="63">
        <f>IF(G107=0,0,G107*I136)</f>
        <v>0</v>
      </c>
      <c r="L107" s="63">
        <f>IF(ISBLANK($J$40),0,IF(AND(G107=0,K107=0),0,ROUND(IF(G107+K107&lt;=0.01,0,G107-J107+K107),2)))</f>
        <v>0</v>
      </c>
      <c r="M107" s="113"/>
      <c r="O107" s="112"/>
      <c r="P107" s="111"/>
    </row>
    <row r="108" spans="2:16" ht="17.25" customHeight="1">
      <c r="B108" s="117"/>
      <c r="E108" s="116" t="str">
        <f>IF(OR(E107="",L107=0),"",IF($J$40&lt;2,"",E107+J137))</f>
        <v/>
      </c>
      <c r="F108" s="115" t="str">
        <f>IF(E108="","",F107+1)</f>
        <v/>
      </c>
      <c r="G108" s="63">
        <f>IF(L107&lt;=1,0,IF($J$40="year of Loan",L107,IF(OR($J$45=0,E108=""),0,L107)))</f>
        <v>0</v>
      </c>
      <c r="I108" s="114"/>
      <c r="J108" s="63">
        <f>IFERROR(IF($J$40&lt;H137,0,IF($J$40="year of Loan",(G108*I137)/(1-(1/(1+I137)^($J$39-(H137-1)*1))),IF($J$40=H137,G108+K108,(G108*I137)/(1-(1/(1+I137))^($J$40-(H137-1)*1))))),0)</f>
        <v>0</v>
      </c>
      <c r="K108" s="63">
        <f>IF(G108=0,0,G108*I137)</f>
        <v>0</v>
      </c>
      <c r="L108" s="63">
        <f>IF(ISBLANK($J$40),0,IF(AND(G108=0,K108=0),0,ROUND(IF(G108+K108&lt;=0.01,0,G108-J108+K108),2)))</f>
        <v>0</v>
      </c>
      <c r="M108" s="113"/>
      <c r="O108" s="112"/>
      <c r="P108" s="111"/>
    </row>
    <row r="109" spans="2:16" ht="17.25" customHeight="1">
      <c r="B109" s="117"/>
      <c r="E109" s="116" t="str">
        <f>IF(OR(E108="",L108=0),"",IF($J$40&lt;2,"",E108+J138))</f>
        <v/>
      </c>
      <c r="F109" s="115" t="str">
        <f>IF(E109="","",F108+1)</f>
        <v/>
      </c>
      <c r="G109" s="63">
        <f>IF(L108&lt;=1,0,IF($J$40="year of Loan",L108,IF(OR($J$45=0,E109=""),0,L108)))</f>
        <v>0</v>
      </c>
      <c r="I109" s="114"/>
      <c r="J109" s="63">
        <f>IFERROR(IF($J$40&lt;H138,0,IF($J$40="year of Loan",(G109*I138)/(1-(1/(1+I138)^($J$39-(H138-1)*1))),IF($J$40=H138,G109+K109,(G109*I138)/(1-(1/(1+I138))^($J$40-(H138-1)*1))))),0)</f>
        <v>0</v>
      </c>
      <c r="K109" s="63">
        <f>IF(G109=0,0,G109*I138)</f>
        <v>0</v>
      </c>
      <c r="L109" s="63">
        <f>IF(ISBLANK($J$40),0,IF(AND(G109=0,K109=0),0,ROUND(IF(G109+K109&lt;=0.01,0,G109-J109+K109),2)))</f>
        <v>0</v>
      </c>
      <c r="M109" s="113"/>
      <c r="O109" s="112"/>
      <c r="P109" s="111"/>
    </row>
    <row r="110" spans="2:16" ht="17.25" customHeight="1">
      <c r="B110" s="117"/>
      <c r="E110" s="116" t="str">
        <f>IF(OR(E109="",L109=0),"",IF($J$40&lt;2,"",E109+J139))</f>
        <v/>
      </c>
      <c r="F110" s="115" t="str">
        <f>IF(E110="","",F109+1)</f>
        <v/>
      </c>
      <c r="G110" s="63">
        <f>IF(L109&lt;=1,0,IF($J$40="year of Loan",L109,IF(OR($J$45=0,E110=""),0,L109)))</f>
        <v>0</v>
      </c>
      <c r="I110" s="114"/>
      <c r="J110" s="63">
        <f>IFERROR(IF($J$40&lt;H139,0,IF($J$40="year of Loan",(G110*I139)/(1-(1/(1+I139)^($J$39-(H139-1)*1))),IF($J$40=H139,G110+K110,(G110*I139)/(1-(1/(1+I139))^($J$40-(H139-1)*1))))),0)</f>
        <v>0</v>
      </c>
      <c r="K110" s="63">
        <f>IF(G110=0,0,G110*I139)</f>
        <v>0</v>
      </c>
      <c r="L110" s="63">
        <f>IF(ISBLANK($J$40),0,IF(AND(G110=0,K110=0),0,ROUND(IF(G110+K110&lt;=0.01,0,G110-J110+K110),2)))</f>
        <v>0</v>
      </c>
      <c r="M110" s="113"/>
      <c r="O110" s="112"/>
      <c r="P110" s="111"/>
    </row>
    <row r="111" spans="2:16" ht="17.25" customHeight="1">
      <c r="B111" s="117"/>
      <c r="E111" s="116" t="str">
        <f>IF(OR(E110="",L110=0),"",IF($J$40&lt;2,"",E110+J141))</f>
        <v/>
      </c>
      <c r="F111" s="115" t="str">
        <f>IF(E111="","",F110+1)</f>
        <v/>
      </c>
      <c r="G111" s="63">
        <f>IF(L110&lt;=1,0,IF($J$40="year of Loan",L110,IF(OR($J$45=0,E111=""),0,L110)))</f>
        <v>0</v>
      </c>
      <c r="I111" s="114"/>
      <c r="J111" s="63">
        <f>IFERROR(IF($J$40&lt;H141,0,IF($J$40="year of Loan",(G111*I141)/(1-(1/(1+I141)^($J$39-(H141-1)*1))),IF($J$40=H141,G111+K111,(G111*I141)/(1-(1/(1+I141))^($J$40-(H141-1)*1))))),0)</f>
        <v>0</v>
      </c>
      <c r="K111" s="63">
        <f>IF(G111=0,0,G111*I141)</f>
        <v>0</v>
      </c>
      <c r="L111" s="63">
        <f>IF(ISBLANK($J$40),0,IF(AND(G111=0,K111=0),0,ROUND(IF(G111+K111&lt;=0.01,0,G111-J111+K111),2)))</f>
        <v>0</v>
      </c>
      <c r="M111" s="113"/>
      <c r="O111" s="112"/>
      <c r="P111" s="111"/>
    </row>
    <row r="112" spans="2:16" ht="17.25" customHeight="1">
      <c r="B112" s="117"/>
      <c r="E112" s="116" t="str">
        <f>IF(OR(E111="",L111=0),"",IF($J$40&lt;2,"",E111+J142))</f>
        <v/>
      </c>
      <c r="F112" s="115" t="str">
        <f>IF(E112="","",F111+1)</f>
        <v/>
      </c>
      <c r="G112" s="63">
        <f>IF(L111&lt;=1,0,IF($J$40="year of Loan",L111,IF(OR($J$45=0,E112=""),0,L111)))</f>
        <v>0</v>
      </c>
      <c r="I112" s="114"/>
      <c r="J112" s="63">
        <f>IFERROR(IF($J$40&lt;H142,0,IF($J$40="year of Loan",(G112*I142)/(1-(1/(1+I142)^($J$39-(H142-1)*1))),IF($J$40=H142,G112+K112,(G112*I142)/(1-(1/(1+I142))^($J$40-(H142-1)*1))))),0)</f>
        <v>0</v>
      </c>
      <c r="K112" s="63">
        <f>IF(G112=0,0,G112*I142)</f>
        <v>0</v>
      </c>
      <c r="L112" s="63">
        <f>IF(ISBLANK($J$40),0,IF(AND(G112=0,K112=0),0,ROUND(IF(G112+K112&lt;=0.01,0,G112-J112+K112),2)))</f>
        <v>0</v>
      </c>
      <c r="M112" s="113"/>
      <c r="O112" s="112"/>
      <c r="P112" s="111"/>
    </row>
    <row r="113" spans="2:16" ht="17.25" customHeight="1">
      <c r="B113" s="117"/>
      <c r="E113" s="116" t="str">
        <f>IF(OR(E112="",L112=0),"",IF($J$40&lt;2,"",E112+J143))</f>
        <v/>
      </c>
      <c r="F113" s="115" t="str">
        <f>IF(E113="","",F112+1)</f>
        <v/>
      </c>
      <c r="G113" s="63">
        <f>IF(L112&lt;=1,0,IF($J$40="year of Loan",L112,IF(OR($J$45=0,E113=""),0,L112)))</f>
        <v>0</v>
      </c>
      <c r="I113" s="114"/>
      <c r="J113" s="63">
        <f>IFERROR(IF($J$40&lt;H143,0,IF($J$40="year of Loan",(G113*I143)/(1-(1/(1+I143)^($J$39-(H143-1)*1))),IF($J$40=H143,G113+K113,(G113*I143)/(1-(1/(1+I143))^($J$40-(H143-1)*1))))),0)</f>
        <v>0</v>
      </c>
      <c r="K113" s="63">
        <f>IF(G113=0,0,G113*I143)</f>
        <v>0</v>
      </c>
      <c r="L113" s="63">
        <f>IF(ISBLANK($J$40),0,IF(AND(G113=0,K113=0),0,ROUND(IF(G113+K113&lt;=0.01,0,G113-J113+K113),2)))</f>
        <v>0</v>
      </c>
      <c r="M113" s="113"/>
      <c r="O113" s="112"/>
      <c r="P113" s="111"/>
    </row>
    <row r="114" spans="2:16" ht="17.25" customHeight="1">
      <c r="B114" s="117"/>
      <c r="E114" s="116" t="str">
        <f>IF(OR(E113="",L113=0),"",IF($J$40&lt;2,"",E113+J144))</f>
        <v/>
      </c>
      <c r="F114" s="115" t="str">
        <f>IF(E114="","",F113+1)</f>
        <v/>
      </c>
      <c r="G114" s="63">
        <f>IF(L113&lt;=1,0,IF($J$40="year of Loan",L113,IF(OR($J$45=0,E114=""),0,L113)))</f>
        <v>0</v>
      </c>
      <c r="I114" s="114"/>
      <c r="J114" s="63">
        <f>IFERROR(IF($J$40&lt;H144,0,IF($J$40="year of Loan",(G114*I144)/(1-(1/(1+I144)^($J$39-(H144-1)*1))),IF($J$40=H144,G114+K114,(G114*I144)/(1-(1/(1+I144))^($J$40-(H144-1)*1))))),0)</f>
        <v>0</v>
      </c>
      <c r="K114" s="63">
        <f>IF(G114=0,0,G114*I144)</f>
        <v>0</v>
      </c>
      <c r="L114" s="63">
        <f>IF(ISBLANK($J$40),0,IF(AND(G114=0,K114=0),0,ROUND(IF(G114+K114&lt;=0.01,0,G114-J114+K114),2)))</f>
        <v>0</v>
      </c>
      <c r="M114" s="113"/>
      <c r="O114" s="112"/>
      <c r="P114" s="111"/>
    </row>
    <row r="115" spans="2:16" ht="17.25" customHeight="1">
      <c r="B115" s="117"/>
      <c r="E115" s="116" t="str">
        <f>IF(OR(E114="",L114=0),"",IF($J$40&lt;2,"",E114+J145))</f>
        <v/>
      </c>
      <c r="F115" s="115" t="str">
        <f>IF(E115="","",F114+1)</f>
        <v/>
      </c>
      <c r="G115" s="63">
        <f>IF(L114&lt;=1,0,IF($J$40="year of Loan",L114,IF(OR($J$45=0,E115=""),0,L114)))</f>
        <v>0</v>
      </c>
      <c r="I115" s="114"/>
      <c r="J115" s="63">
        <f>IFERROR(IF($J$40&lt;H145,0,IF($J$40="year of Loan",(G115*I145)/(1-(1/(1+I145)^($J$39-(H145-1)*1))),IF($J$40=H145,G115+K115,(G115*I145)/(1-(1/(1+I145))^($J$40-(H145-1)*1))))),0)</f>
        <v>0</v>
      </c>
      <c r="K115" s="63">
        <f>IF(G115=0,0,G115*I145)</f>
        <v>0</v>
      </c>
      <c r="L115" s="63">
        <f>IF(ISBLANK($J$40),0,IF(AND(G115=0,K115=0),0,ROUND(IF(G115+K115&lt;=0.01,0,G115-J115+K115),2)))</f>
        <v>0</v>
      </c>
      <c r="M115" s="113"/>
      <c r="O115" s="112"/>
      <c r="P115" s="111"/>
    </row>
    <row r="116" spans="2:16" ht="17.25" customHeight="1">
      <c r="B116" s="117"/>
      <c r="E116" s="116" t="str">
        <f>IF(OR(E115="",L115=0),"",IF($J$40&lt;2,"",E115+J146))</f>
        <v/>
      </c>
      <c r="F116" s="115" t="str">
        <f>IF(E116="","",F115+1)</f>
        <v/>
      </c>
      <c r="G116" s="63">
        <f>IF(L115&lt;=1,0,IF($J$40="year of Loan",L115,IF(OR($J$45=0,E116=""),0,L115)))</f>
        <v>0</v>
      </c>
      <c r="I116" s="114"/>
      <c r="J116" s="63">
        <f>IFERROR(IF($J$40&lt;H146,0,IF($J$40="year of Loan",(G116*I146)/(1-(1/(1+I146)^($J$39-(H146-1)*1))),IF($J$40=H146,G116+K116,(G116*I146)/(1-(1/(1+I146))^($J$40-(H146-1)*1))))),0)</f>
        <v>0</v>
      </c>
      <c r="K116" s="63">
        <f>IF(G116=0,0,G116*I146)</f>
        <v>0</v>
      </c>
      <c r="L116" s="63">
        <f>IF(ISBLANK($J$40),0,IF(AND(G116=0,K116=0),0,ROUND(IF(G116+K116&lt;=0.01,0,G116-J116+K116),2)))</f>
        <v>0</v>
      </c>
      <c r="M116" s="113"/>
      <c r="O116" s="112"/>
      <c r="P116" s="111"/>
    </row>
    <row r="117" spans="2:16" ht="17.25" customHeight="1">
      <c r="B117" s="117"/>
      <c r="E117" s="116" t="str">
        <f>IF(OR(E116="",L116=0),"",IF($J$40&lt;2,"",E116+J147))</f>
        <v/>
      </c>
      <c r="F117" s="115" t="str">
        <f>IF(E117="","",F116+1)</f>
        <v/>
      </c>
      <c r="G117" s="63">
        <f>IF(L116&lt;=1,0,IF($J$40="year of Loan",L116,IF(OR($J$45=0,E117=""),0,L116)))</f>
        <v>0</v>
      </c>
      <c r="I117" s="114"/>
      <c r="J117" s="63">
        <f>IFERROR(IF($J$40&lt;H147,0,IF($J$40="year of Loan",(G117*I147)/(1-(1/(1+I147)^($J$39-(H147-1)*1))),IF($J$40=H147,G117+K117,(G117*I147)/(1-(1/(1+I147))^($J$40-(H147-1)*1))))),0)</f>
        <v>0</v>
      </c>
      <c r="K117" s="63">
        <f>IF(G117=0,0,G117*I147)</f>
        <v>0</v>
      </c>
      <c r="L117" s="63">
        <f>IF(ISBLANK($J$40),0,IF(AND(G117=0,K117=0),0,ROUND(IF(G117+K117&lt;=0.01,0,G117-J117+K117),2)))</f>
        <v>0</v>
      </c>
      <c r="M117" s="113"/>
      <c r="O117" s="112"/>
      <c r="P117" s="111"/>
    </row>
    <row r="118" spans="2:16" ht="17.25" customHeight="1">
      <c r="B118" s="117"/>
      <c r="E118" s="116" t="str">
        <f>IF(OR(E117="",L117=0),"",IF($J$40&lt;2,"",E117+J148))</f>
        <v/>
      </c>
      <c r="F118" s="115" t="str">
        <f>IF(E118="","",F117+1)</f>
        <v/>
      </c>
      <c r="G118" s="63">
        <f>IF(L117&lt;=1,0,IF($J$40="year of Loan",L117,IF(OR($J$45=0,E118=""),0,L117)))</f>
        <v>0</v>
      </c>
      <c r="I118" s="114"/>
      <c r="J118" s="63">
        <f>IFERROR(IF($J$40&lt;H148,0,IF($J$40="year of Loan",(G118*I148)/(1-(1/(1+I148)^($J$39-(H148-1)*1))),IF($J$40=H148,G118+K118,(G118*I148)/(1-(1/(1+I148))^($J$40-(H148-1)*1))))),0)</f>
        <v>0</v>
      </c>
      <c r="K118" s="63">
        <f>IF(G118=0,0,G118*I148)</f>
        <v>0</v>
      </c>
      <c r="L118" s="63">
        <f>IF(ISBLANK($J$40),0,IF(AND(G118=0,K118=0),0,ROUND(IF(G118+K118&lt;=0.01,0,G118-J118+K118),2)))</f>
        <v>0</v>
      </c>
      <c r="M118" s="113"/>
      <c r="O118" s="112"/>
      <c r="P118" s="111"/>
    </row>
    <row r="119" spans="2:16" ht="17.25" customHeight="1">
      <c r="B119" s="117"/>
      <c r="E119" s="116" t="str">
        <f>IF(OR(E118="",L118=0),"",IF($J$40&lt;2,"",E118+J149))</f>
        <v/>
      </c>
      <c r="F119" s="115" t="str">
        <f>IF(E119="","",F118+1)</f>
        <v/>
      </c>
      <c r="G119" s="63">
        <f>IF(L118&lt;=1,0,IF($J$40="year of Loan",L118,IF(OR($J$45=0,E119=""),0,L118)))</f>
        <v>0</v>
      </c>
      <c r="I119" s="114"/>
      <c r="J119" s="63">
        <f>IFERROR(IF($J$40&lt;H149,0,IF($J$40="year of Loan",(G119*I149)/(1-(1/(1+I149)^($J$39-(H149-1)*1))),IF($J$40=H149,G119+K119,(G119*I149)/(1-(1/(1+I149))^($J$40-(H149-1)*1))))),0)</f>
        <v>0</v>
      </c>
      <c r="K119" s="63">
        <f>IF(G119=0,0,G119*I149)</f>
        <v>0</v>
      </c>
      <c r="L119" s="63">
        <f>IF(ISBLANK($J$40),0,IF(AND(G119=0,K119=0),0,ROUND(IF(G119+K119&lt;=0.01,0,G119-J119+K119),2)))</f>
        <v>0</v>
      </c>
      <c r="M119" s="113"/>
      <c r="O119" s="112"/>
      <c r="P119" s="111"/>
    </row>
    <row r="120" spans="2:16" ht="17.25" customHeight="1">
      <c r="B120" s="117"/>
      <c r="E120" s="116" t="str">
        <f>IF(OR(E119="",L119=0),"",IF($J$40&lt;2,"",E119+J150))</f>
        <v/>
      </c>
      <c r="F120" s="115" t="str">
        <f>IF(E120="","",F119+1)</f>
        <v/>
      </c>
      <c r="G120" s="63">
        <f>IF(L119&lt;=1,0,IF($J$40="year of Loan",L119,IF(OR($J$45=0,E120=""),0,L119)))</f>
        <v>0</v>
      </c>
      <c r="I120" s="114"/>
      <c r="J120" s="63">
        <f>IFERROR(IF($J$40&lt;H150,0,IF($J$40="year of Loan",(G120*I150)/(1-(1/(1+I150)^($J$39-(H150-1)*1))),IF($J$40=H150,G120+K120,(G120*I150)/(1-(1/(1+I150))^($J$40-(H150-1)*1))))),0)</f>
        <v>0</v>
      </c>
      <c r="K120" s="63">
        <f>IF(G120=0,0,G120*I150)</f>
        <v>0</v>
      </c>
      <c r="L120" s="63">
        <f>IF(ISBLANK($J$40),0,IF(AND(G120=0,K120=0),0,ROUND(IF(G120+K120&lt;=0.01,0,G120-J120+K120),2)))</f>
        <v>0</v>
      </c>
      <c r="M120" s="113"/>
      <c r="O120" s="112"/>
      <c r="P120" s="111"/>
    </row>
    <row r="121" spans="2:16" ht="17.25" customHeight="1">
      <c r="B121" s="117"/>
      <c r="E121" s="116" t="str">
        <f>IF(OR(E120="",L120=0),"",IF($J$40&lt;2,"",E120+J151))</f>
        <v/>
      </c>
      <c r="F121" s="115" t="str">
        <f>IF(E121="","",F120+1)</f>
        <v/>
      </c>
      <c r="G121" s="63">
        <f>IF(L120&lt;=1,0,IF($J$40="year of Loan",L120,IF(OR($J$45=0,E121=""),0,L120)))</f>
        <v>0</v>
      </c>
      <c r="I121" s="114"/>
      <c r="J121" s="63">
        <f>IFERROR(IF($J$40&lt;H151,0,IF($J$40="year of Loan",(G121*I151)/(1-(1/(1+I151)^($J$39-(H151-1)*1))),IF($J$40=H151,G121+K121,(G121*I151)/(1-(1/(1+I151))^($J$40-(H151-1)*1))))),0)</f>
        <v>0</v>
      </c>
      <c r="K121" s="63">
        <f>IF(G121=0,0,G121*I151)</f>
        <v>0</v>
      </c>
      <c r="L121" s="63">
        <f>IF(ISBLANK($J$40),0,IF(AND(G121=0,K121=0),0,ROUND(IF(G121+K121&lt;=0.01,0,G121-J121+K121),2)))</f>
        <v>0</v>
      </c>
      <c r="M121" s="113"/>
      <c r="O121" s="112"/>
      <c r="P121" s="111"/>
    </row>
    <row r="122" spans="2:16" ht="17.25" customHeight="1">
      <c r="B122" s="117"/>
      <c r="E122" s="116" t="str">
        <f>IF(OR(E121="",L121=0),"",IF($J$40&lt;2,"",E121+J152))</f>
        <v/>
      </c>
      <c r="F122" s="115" t="str">
        <f>IF(E122="","",F121+1)</f>
        <v/>
      </c>
      <c r="G122" s="63">
        <f>IF(L121&lt;=1,0,IF($J$40="year of Loan",L121,IF(OR($J$45=0,E122=""),0,L121)))</f>
        <v>0</v>
      </c>
      <c r="I122" s="114"/>
      <c r="J122" s="63">
        <f>IFERROR(IF($J$40&lt;H152,0,IF($J$40="year of Loan",(G122*I152)/(1-(1/(1+I152)^($J$39-(H152-1)*1))),IF($J$40=H152,G122+K122,(G122*I152)/(1-(1/(1+I152))^($J$40-(H152-1)*1))))),0)</f>
        <v>0</v>
      </c>
      <c r="K122" s="63">
        <f>IF(G122=0,0,G122*I152)</f>
        <v>0</v>
      </c>
      <c r="L122" s="63">
        <f>IF(ISBLANK($J$40),0,IF(AND(G122=0,K122=0),0,ROUND(IF(G122+K122&lt;=0.01,0,G122-J122+K122),2)))</f>
        <v>0</v>
      </c>
      <c r="M122" s="113"/>
      <c r="O122" s="112"/>
      <c r="P122" s="111"/>
    </row>
    <row r="123" spans="2:16" ht="17.25" customHeight="1">
      <c r="B123" s="117"/>
      <c r="E123" s="116" t="str">
        <f>IF(OR(E122="",L122=0),"",IF($J$40&lt;2,"",E122+J153))</f>
        <v/>
      </c>
      <c r="F123" s="115" t="str">
        <f>IF(E123="","",F122+1)</f>
        <v/>
      </c>
      <c r="G123" s="63">
        <f>IF(L122&lt;=1,0,IF($J$40="year of Loan",L122,IF(OR($J$45=0,E123=""),0,L122)))</f>
        <v>0</v>
      </c>
      <c r="I123" s="114"/>
      <c r="J123" s="63">
        <f>IFERROR(IF($J$40&lt;H153,0,IF($J$40="year of Loan",(G123*I153)/(1-(1/(1+I153)^($J$39-(H153-1)*1))),IF($J$40=H153,G123+K123,(G123*I153)/(1-(1/(1+I153))^($J$40-(H153-1)*1))))),0)</f>
        <v>0</v>
      </c>
      <c r="K123" s="63">
        <f>IF(G123=0,0,G123*I153)</f>
        <v>0</v>
      </c>
      <c r="L123" s="63">
        <f>IF(ISBLANK($J$40),0,IF(AND(G123=0,K123=0),0,ROUND(IF(G123+K123&lt;=0.01,0,G123-J123+K123),2)))</f>
        <v>0</v>
      </c>
      <c r="M123" s="113"/>
      <c r="O123" s="112"/>
      <c r="P123" s="111"/>
    </row>
    <row r="124" spans="2:16" ht="7.5" customHeight="1">
      <c r="B124" s="110"/>
      <c r="C124" s="109"/>
      <c r="D124" s="109"/>
      <c r="E124" s="109"/>
      <c r="F124" s="109"/>
      <c r="G124" s="109"/>
      <c r="H124" s="109"/>
      <c r="I124" s="109"/>
      <c r="J124" s="109"/>
      <c r="K124" s="109"/>
      <c r="L124" s="109"/>
      <c r="M124" s="108"/>
    </row>
    <row r="125" spans="2:16" ht="12.75" customHeight="1"/>
    <row r="126" spans="2:16" hidden="1">
      <c r="E126" s="107" t="s">
        <v>137</v>
      </c>
      <c r="F126" s="106"/>
    </row>
    <row r="127" spans="2:16" hidden="1">
      <c r="E127" s="105" t="s">
        <v>136</v>
      </c>
      <c r="F127" s="105" t="s">
        <v>134</v>
      </c>
      <c r="G127" s="105" t="s">
        <v>136</v>
      </c>
      <c r="H127" s="105" t="s">
        <v>135</v>
      </c>
      <c r="I127" s="105" t="s">
        <v>134</v>
      </c>
      <c r="J127" s="105" t="s">
        <v>133</v>
      </c>
    </row>
    <row r="128" spans="2:16" hidden="1">
      <c r="E128" s="105"/>
      <c r="F128" s="105"/>
      <c r="G128" s="103">
        <f>IF(E99="","",YEAR(E99))</f>
        <v>2024</v>
      </c>
      <c r="H128" s="103">
        <f>IF(E99="","",IF($J$41&gt;0,1,IF(J40="year of Loan",0,0)))</f>
        <v>1</v>
      </c>
      <c r="I128" s="104">
        <f>IF(G128&gt;$E$141,$F$141,INDEX($F$129:$F$141,MATCH(G128,$E$129:$E$141,0)))</f>
        <v>8.2699999999999996E-2</v>
      </c>
      <c r="J128" s="103">
        <f>IFERROR(IF(MOD((YEAR(E99)),4)=3,366,365),"")</f>
        <v>365</v>
      </c>
    </row>
    <row r="129" spans="5:10" hidden="1">
      <c r="E129" s="103">
        <f>YEAR(I17)</f>
        <v>2013</v>
      </c>
      <c r="F129" s="104">
        <f>J17</f>
        <v>7.0499999999999993E-2</v>
      </c>
      <c r="G129" s="103">
        <f>IF(E100="","",YEAR(E100))</f>
        <v>2025</v>
      </c>
      <c r="H129" s="103">
        <f>IF(E100="","",H128+1)</f>
        <v>2</v>
      </c>
      <c r="I129" s="104">
        <f>IF(G129&gt;$E$141,$F$141,INDEX($F$129:$F$141,MATCH(G129,$E$129:$E$141,0)))</f>
        <v>8.77E-2</v>
      </c>
      <c r="J129" s="103">
        <f>IFERROR(IF(MOD((YEAR(E99)),4)=3,366,365),"")</f>
        <v>365</v>
      </c>
    </row>
    <row r="130" spans="5:10" hidden="1">
      <c r="E130" s="103">
        <f>YEAR(I18)</f>
        <v>2014</v>
      </c>
      <c r="F130" s="104">
        <f>J18</f>
        <v>6.2E-2</v>
      </c>
      <c r="G130" s="103">
        <f>IF(E101="","",YEAR(E101))</f>
        <v>2026</v>
      </c>
      <c r="H130" s="103">
        <f>IF(E101="","",H129+1)</f>
        <v>3</v>
      </c>
      <c r="I130" s="104">
        <f>IF(G130&gt;$E$141,$F$141,INDEX($F$129:$F$141,MATCH(G130,$E$129:$E$141,0)))</f>
        <v>8.77E-2</v>
      </c>
      <c r="J130" s="103">
        <f>IFERROR(IF(MOD((YEAR(E100)),4)=3,366,365),"")</f>
        <v>365</v>
      </c>
    </row>
    <row r="131" spans="5:10" hidden="1">
      <c r="E131" s="103">
        <f>YEAR(I19)</f>
        <v>2015</v>
      </c>
      <c r="F131" s="104">
        <f>J19</f>
        <v>5.9499999999999997E-2</v>
      </c>
      <c r="G131" s="103">
        <f>IF(E102="","",YEAR(E102))</f>
        <v>2027</v>
      </c>
      <c r="H131" s="103">
        <f>IF(E102="","",H130+1)</f>
        <v>4</v>
      </c>
      <c r="I131" s="104">
        <f>IF(G131&gt;$E$141,$F$141,INDEX($F$129:$F$141,MATCH(G131,$E$129:$E$141,0)))</f>
        <v>8.77E-2</v>
      </c>
      <c r="J131" s="103">
        <f>IFERROR(IF(MOD((YEAR(E101)),4)=3,366,365),"")</f>
        <v>365</v>
      </c>
    </row>
    <row r="132" spans="5:10" hidden="1">
      <c r="E132" s="103">
        <f>YEAR(I20)</f>
        <v>2016</v>
      </c>
      <c r="F132" s="104">
        <f>J20</f>
        <v>5.45E-2</v>
      </c>
      <c r="G132" s="103">
        <f>IF(E103="","",YEAR(E103))</f>
        <v>2028</v>
      </c>
      <c r="H132" s="103">
        <f>IF(E103="","",H131+1)</f>
        <v>5</v>
      </c>
      <c r="I132" s="104">
        <f>IF(G132&gt;$E$141,$F$141,INDEX($F$129:$F$141,MATCH(G132,$E$129:$E$141,0)))</f>
        <v>8.77E-2</v>
      </c>
      <c r="J132" s="103">
        <f>IFERROR(IF(MOD((YEAR(E102)),4)=3,366,365),"")</f>
        <v>366</v>
      </c>
    </row>
    <row r="133" spans="5:10" hidden="1">
      <c r="E133" s="103">
        <f>YEAR(I21)</f>
        <v>2017</v>
      </c>
      <c r="F133" s="104">
        <f>J21</f>
        <v>5.3999999999999999E-2</v>
      </c>
      <c r="G133" s="103">
        <f>IF(E104="","",YEAR(E104))</f>
        <v>2029</v>
      </c>
      <c r="H133" s="103">
        <f>IF(E104="","",H132+1)</f>
        <v>6</v>
      </c>
      <c r="I133" s="104">
        <f>IF(G133&gt;$E$141,$F$141,INDEX($F$129:$F$141,MATCH(G133,$E$129:$E$141,0)))</f>
        <v>8.77E-2</v>
      </c>
      <c r="J133" s="103">
        <f>IFERROR(IF(MOD((YEAR(E103)),4)=3,366,365),"")</f>
        <v>365</v>
      </c>
    </row>
    <row r="134" spans="5:10" hidden="1">
      <c r="E134" s="103">
        <f>YEAR(I22)</f>
        <v>2018</v>
      </c>
      <c r="F134" s="104">
        <f>J22</f>
        <v>5.2999999999999999E-2</v>
      </c>
      <c r="G134" s="103" t="str">
        <f>IF(E105="","",YEAR(E105))</f>
        <v/>
      </c>
      <c r="H134" s="103" t="str">
        <f>IF(E105="","",H133+1)</f>
        <v/>
      </c>
      <c r="I134" s="104">
        <f>IF(G134&gt;$E$141,$F$141,INDEX($F$129:$F$141,MATCH(G134,$E$129:$E$141,0)))</f>
        <v>8.77E-2</v>
      </c>
      <c r="J134" s="103">
        <f>IFERROR(IF(MOD((YEAR(E104)),4)=3,366,365),"")</f>
        <v>365</v>
      </c>
    </row>
    <row r="135" spans="5:10" hidden="1">
      <c r="E135" s="103">
        <f>YEAR(I23)</f>
        <v>2019</v>
      </c>
      <c r="F135" s="104">
        <f>J23</f>
        <v>5.1999999999999998E-2</v>
      </c>
      <c r="G135" s="103" t="str">
        <f>IF(E106="","",YEAR(E106))</f>
        <v/>
      </c>
      <c r="H135" s="103" t="str">
        <f>IF(E106="","",H134+1)</f>
        <v/>
      </c>
      <c r="I135" s="104">
        <f>IF(G135&gt;$E$141,$F$141,INDEX($F$129:$F$141,MATCH(G135,$E$129:$E$141,0)))</f>
        <v>8.77E-2</v>
      </c>
      <c r="J135" s="103" t="str">
        <f>IFERROR(IF(MOD((YEAR(E105)),4)=3,366,365),"")</f>
        <v/>
      </c>
    </row>
    <row r="136" spans="5:10" hidden="1">
      <c r="E136" s="103">
        <f>YEAR(I24)</f>
        <v>2020</v>
      </c>
      <c r="F136" s="104">
        <f>J24</f>
        <v>5.3699999999999998E-2</v>
      </c>
      <c r="G136" s="103" t="str">
        <f>IF(E107="","",YEAR(E107))</f>
        <v/>
      </c>
      <c r="H136" s="103" t="str">
        <f>IF(E107="","",H135+1)</f>
        <v/>
      </c>
      <c r="I136" s="104">
        <f>IF(G136&gt;$E$141,$F$141,INDEX($F$129:$F$141,MATCH(G136,$E$129:$E$141,0)))</f>
        <v>8.77E-2</v>
      </c>
      <c r="J136" s="103" t="str">
        <f>IFERROR(IF(MOD((YEAR(E106)),4)=3,366,365),"")</f>
        <v/>
      </c>
    </row>
    <row r="137" spans="5:10" hidden="1">
      <c r="E137" s="103">
        <f>YEAR(I25)</f>
        <v>2021</v>
      </c>
      <c r="F137" s="104">
        <f>J25</f>
        <v>4.5199999999999997E-2</v>
      </c>
      <c r="G137" s="103" t="str">
        <f>IF(E108="","",YEAR(E108))</f>
        <v/>
      </c>
      <c r="H137" s="103" t="str">
        <f>IF(E108="","",H136+1)</f>
        <v/>
      </c>
      <c r="I137" s="104">
        <f>IF(G137&gt;$E$141,$F$141,INDEX($F$129:$F$141,MATCH(G137,$E$129:$E$141,0)))</f>
        <v>8.77E-2</v>
      </c>
      <c r="J137" s="103" t="str">
        <f>IFERROR(IF(MOD((YEAR(E107)),4)=3,366,365),"")</f>
        <v/>
      </c>
    </row>
    <row r="138" spans="5:10" hidden="1">
      <c r="E138" s="103">
        <f>YEAR(I26)</f>
        <v>2022</v>
      </c>
      <c r="F138" s="104">
        <f>J26</f>
        <v>4.5199999999999997E-2</v>
      </c>
      <c r="G138" s="103" t="str">
        <f>IF(E109="","",YEAR(E109))</f>
        <v/>
      </c>
      <c r="H138" s="103" t="str">
        <f>IF(E109="","",H137+1)</f>
        <v/>
      </c>
      <c r="I138" s="104">
        <f>IF(G138&gt;$E$141,$F$141,INDEX($F$129:$F$141,MATCH(G138,$E$129:$E$141,0)))</f>
        <v>8.77E-2</v>
      </c>
      <c r="J138" s="103" t="str">
        <f>IFERROR(IF(MOD((YEAR(E108)),4)=3,366,365),"")</f>
        <v/>
      </c>
    </row>
    <row r="139" spans="5:10" hidden="1">
      <c r="E139" s="103">
        <f>YEAR(I27)</f>
        <v>2023</v>
      </c>
      <c r="F139" s="104">
        <f>J27</f>
        <v>4.7699999999999999E-2</v>
      </c>
      <c r="G139" s="103" t="str">
        <f>IF(E110="","",YEAR(E110))</f>
        <v/>
      </c>
      <c r="H139" s="103" t="str">
        <f>IF(E110="","",H138+1)</f>
        <v/>
      </c>
      <c r="I139" s="104">
        <f>IF(G139&gt;$E$141,$F$141,INDEX($F$129:$F$141,MATCH(G139,$E$129:$E$141,0)))</f>
        <v>8.77E-2</v>
      </c>
      <c r="J139" s="103" t="str">
        <f>IFERROR(IF(MOD((YEAR(E109)),4)=3,366,365),"")</f>
        <v/>
      </c>
    </row>
    <row r="140" spans="5:10" hidden="1">
      <c r="E140" s="103">
        <f>YEAR(I28)</f>
        <v>2024</v>
      </c>
      <c r="F140" s="104">
        <f>J28</f>
        <v>8.2699999999999996E-2</v>
      </c>
      <c r="G140" s="103" t="str">
        <f>IF(E111="","",YEAR(E111))</f>
        <v/>
      </c>
      <c r="H140" s="103" t="str">
        <f>IF(E111="","",H139+1)</f>
        <v/>
      </c>
      <c r="I140" s="104">
        <f>IF(G140&gt;$E$141,$F$141,INDEX($F$129:$F$141,MATCH(G140,$E$129:$E$141,0)))</f>
        <v>8.77E-2</v>
      </c>
      <c r="J140" s="103" t="str">
        <f>IFERROR(IF(MOD((YEAR(E110)),4)=3,366,365),"")</f>
        <v/>
      </c>
    </row>
    <row r="141" spans="5:10" hidden="1">
      <c r="E141" s="103">
        <f>YEAR(I29)</f>
        <v>2025</v>
      </c>
      <c r="F141" s="104">
        <f>J29</f>
        <v>8.77E-2</v>
      </c>
      <c r="G141" s="103" t="str">
        <f>IF(E111="","",YEAR(E111))</f>
        <v/>
      </c>
      <c r="H141" s="103" t="str">
        <f>IF(E111="","",H139+1)</f>
        <v/>
      </c>
      <c r="I141" s="104">
        <f>IF(G141&gt;$E$141,$F$141,INDEX($F$129:$F$141,MATCH(G141,$E$129:$E$141,0)))</f>
        <v>8.77E-2</v>
      </c>
      <c r="J141" s="103" t="str">
        <f>IFERROR(IF(MOD((YEAR(E110)),4)=3,366,365),"")</f>
        <v/>
      </c>
    </row>
    <row r="142" spans="5:10" hidden="1">
      <c r="G142" s="103" t="str">
        <f>IF(E112="","",YEAR(E112))</f>
        <v/>
      </c>
      <c r="H142" s="103" t="str">
        <f>IF(E112="","",H141+1)</f>
        <v/>
      </c>
      <c r="I142" s="104">
        <f>IF(G142&gt;$E$141,$F$141,INDEX($F$129:$F$141,MATCH(G142,$E$129:$E$141,0)))</f>
        <v>8.77E-2</v>
      </c>
      <c r="J142" s="103" t="str">
        <f>IFERROR(IF(MOD((YEAR(E111)),4)=3,366,365),"")</f>
        <v/>
      </c>
    </row>
    <row r="143" spans="5:10" hidden="1">
      <c r="G143" s="103" t="str">
        <f>IF(E113="","",YEAR(E113))</f>
        <v/>
      </c>
      <c r="H143" s="103" t="str">
        <f>IF(E113="","",H142+1)</f>
        <v/>
      </c>
      <c r="I143" s="104">
        <f>IF(G143&gt;$E$141,$F$141,INDEX($F$129:$F$141,MATCH(G143,$E$129:$E$141,0)))</f>
        <v>8.77E-2</v>
      </c>
      <c r="J143" s="103" t="str">
        <f>IFERROR(IF(MOD((YEAR(E112)),4)=3,366,365),"")</f>
        <v/>
      </c>
    </row>
    <row r="144" spans="5:10" hidden="1">
      <c r="G144" s="103" t="str">
        <f>IF(E114="","",YEAR(E114))</f>
        <v/>
      </c>
      <c r="H144" s="103" t="str">
        <f>IF(E114="","",H143+1)</f>
        <v/>
      </c>
      <c r="I144" s="104">
        <f>IF(G144&gt;$E$141,$F$141,INDEX($F$129:$F$141,MATCH(G144,$E$129:$E$141,0)))</f>
        <v>8.77E-2</v>
      </c>
      <c r="J144" s="103" t="str">
        <f>IFERROR(IF(MOD((YEAR(E113)),4)=3,366,365),"")</f>
        <v/>
      </c>
    </row>
    <row r="145" spans="7:10" hidden="1">
      <c r="G145" s="103" t="str">
        <f>IF(E115="","",YEAR(E115))</f>
        <v/>
      </c>
      <c r="H145" s="103" t="str">
        <f>IF(E115="","",H144+1)</f>
        <v/>
      </c>
      <c r="I145" s="104">
        <f>IF(G145&gt;$E$141,$F$141,INDEX($F$129:$F$141,MATCH(G145,$E$129:$E$141,0)))</f>
        <v>8.77E-2</v>
      </c>
      <c r="J145" s="103" t="str">
        <f>IFERROR(IF(MOD((YEAR(E114)),4)=3,366,365),"")</f>
        <v/>
      </c>
    </row>
    <row r="146" spans="7:10" hidden="1">
      <c r="G146" s="103" t="str">
        <f>IF(E116="","",YEAR(E116))</f>
        <v/>
      </c>
      <c r="H146" s="103" t="str">
        <f>IF(E116="","",H145+1)</f>
        <v/>
      </c>
      <c r="I146" s="104">
        <f>IF(G146&gt;$E$141,$F$141,INDEX($F$129:$F$141,MATCH(G146,$E$129:$E$141,0)))</f>
        <v>8.77E-2</v>
      </c>
      <c r="J146" s="103" t="str">
        <f>IFERROR(IF(MOD((YEAR(E115)),4)=3,366,365),"")</f>
        <v/>
      </c>
    </row>
    <row r="147" spans="7:10" hidden="1">
      <c r="G147" s="103" t="str">
        <f>IF(E117="","",YEAR(E117))</f>
        <v/>
      </c>
      <c r="H147" s="103" t="str">
        <f>IF(E117="","",H146+1)</f>
        <v/>
      </c>
      <c r="I147" s="104">
        <f>IF(G147&gt;$E$141,$F$141,INDEX($F$129:$F$141,MATCH(G147,$E$129:$E$141,0)))</f>
        <v>8.77E-2</v>
      </c>
      <c r="J147" s="103" t="str">
        <f>IFERROR(IF(MOD((YEAR(E116)),4)=3,366,365),"")</f>
        <v/>
      </c>
    </row>
    <row r="148" spans="7:10" hidden="1">
      <c r="G148" s="103" t="str">
        <f>IF(E118="","",YEAR(E118))</f>
        <v/>
      </c>
      <c r="H148" s="103" t="str">
        <f>IF(E118="","",H147+1)</f>
        <v/>
      </c>
      <c r="I148" s="104">
        <f>IF(G148&gt;$E$141,$F$141,INDEX($F$129:$F$141,MATCH(G148,$E$129:$E$141,0)))</f>
        <v>8.77E-2</v>
      </c>
      <c r="J148" s="103" t="str">
        <f>IFERROR(IF(MOD((YEAR(E117)),4)=3,366,365),"")</f>
        <v/>
      </c>
    </row>
    <row r="149" spans="7:10" hidden="1">
      <c r="G149" s="103" t="str">
        <f>IF(E119="","",YEAR(E119))</f>
        <v/>
      </c>
      <c r="H149" s="103" t="str">
        <f>IF(E119="","",H148+1)</f>
        <v/>
      </c>
      <c r="I149" s="104">
        <f>IF(G149&gt;$E$141,$F$141,INDEX($F$129:$F$141,MATCH(G149,$E$129:$E$141,0)))</f>
        <v>8.77E-2</v>
      </c>
      <c r="J149" s="103" t="str">
        <f>IFERROR(IF(MOD((YEAR(E118)),4)=3,366,365),"")</f>
        <v/>
      </c>
    </row>
    <row r="150" spans="7:10" hidden="1">
      <c r="G150" s="103" t="str">
        <f>IF(E120="","",YEAR(E120))</f>
        <v/>
      </c>
      <c r="H150" s="103" t="str">
        <f>IF(E120="","",H149+1)</f>
        <v/>
      </c>
      <c r="I150" s="104">
        <f>IF(G150&gt;$E$141,$F$141,INDEX($F$129:$F$141,MATCH(G150,$E$129:$E$141,0)))</f>
        <v>8.77E-2</v>
      </c>
      <c r="J150" s="103" t="str">
        <f>IFERROR(IF(MOD((YEAR(E119)),4)=3,366,365),"")</f>
        <v/>
      </c>
    </row>
    <row r="151" spans="7:10" hidden="1">
      <c r="G151" s="103" t="str">
        <f>IF(E121="","",YEAR(E121))</f>
        <v/>
      </c>
      <c r="H151" s="103" t="str">
        <f>IF(E121="","",H150+1)</f>
        <v/>
      </c>
      <c r="I151" s="104">
        <f>IF(G151&gt;$E$141,$F$141,INDEX($F$129:$F$141,MATCH(G151,$E$129:$E$141,0)))</f>
        <v>8.77E-2</v>
      </c>
      <c r="J151" s="103" t="str">
        <f>IFERROR(IF(MOD((YEAR(E120)),4)=3,366,365),"")</f>
        <v/>
      </c>
    </row>
    <row r="152" spans="7:10" hidden="1">
      <c r="G152" s="103" t="str">
        <f>IF(E122="","",YEAR(E122))</f>
        <v/>
      </c>
      <c r="H152" s="103" t="str">
        <f>IF(E122="","",H151+1)</f>
        <v/>
      </c>
      <c r="I152" s="104">
        <f>IF(G152&gt;$E$141,$F$141,INDEX($F$129:$F$141,MATCH(G152,$E$129:$E$141,0)))</f>
        <v>8.77E-2</v>
      </c>
      <c r="J152" s="103" t="str">
        <f>IFERROR(IF(MOD((YEAR(E121)),4)=3,366,365),"")</f>
        <v/>
      </c>
    </row>
    <row r="153" spans="7:10" hidden="1">
      <c r="G153" s="103" t="str">
        <f>IF(E123="","",YEAR(E123))</f>
        <v/>
      </c>
      <c r="H153" s="103" t="str">
        <f>IF(E123="","",H152+1)</f>
        <v/>
      </c>
      <c r="I153" s="104">
        <f>IF(G153&gt;$E$141,$F$141,INDEX($F$129:$F$141,MATCH(G153,$E$129:$E$141,0)))</f>
        <v>8.77E-2</v>
      </c>
      <c r="J153" s="103" t="str">
        <f>IFERROR(IF(MOD((YEAR(E122)),4)=3,366,365),"")</f>
        <v/>
      </c>
    </row>
    <row r="154" spans="7:10">
      <c r="G154" s="102"/>
      <c r="H154" s="102"/>
    </row>
    <row r="155" spans="7:10">
      <c r="G155" s="102"/>
      <c r="H155" s="102"/>
    </row>
    <row r="156" spans="7:10">
      <c r="H156" s="102"/>
    </row>
    <row r="157" spans="7:10">
      <c r="H157" s="102"/>
    </row>
    <row r="158" spans="7:10">
      <c r="H158" s="102"/>
    </row>
    <row r="159" spans="7:10">
      <c r="H159" s="102"/>
    </row>
    <row r="160" spans="7:10">
      <c r="H160" s="102"/>
    </row>
    <row r="161" spans="8:8">
      <c r="H161" s="102"/>
    </row>
    <row r="162" spans="8:8">
      <c r="H162" s="102"/>
    </row>
    <row r="163" spans="8:8">
      <c r="H163" s="102"/>
    </row>
    <row r="164" spans="8:8">
      <c r="H164" s="102"/>
    </row>
    <row r="165" spans="8:8">
      <c r="H165" s="102"/>
    </row>
  </sheetData>
  <sheetProtection sheet="1" formatCells="0" formatColumns="0" formatRows="0" insertColumns="0" insertRows="0" insertHyperlinks="0"/>
  <mergeCells count="41">
    <mergeCell ref="E50:H50"/>
    <mergeCell ref="E43:H43"/>
    <mergeCell ref="E44:H44"/>
    <mergeCell ref="E45:H45"/>
    <mergeCell ref="E51:H51"/>
    <mergeCell ref="K43:L43"/>
    <mergeCell ref="E52:H52"/>
    <mergeCell ref="E46:H46"/>
    <mergeCell ref="E47:H47"/>
    <mergeCell ref="E48:H48"/>
    <mergeCell ref="E49:H49"/>
    <mergeCell ref="E58:L58"/>
    <mergeCell ref="F11:L11"/>
    <mergeCell ref="F12:L12"/>
    <mergeCell ref="F13:L13"/>
    <mergeCell ref="E36:H36"/>
    <mergeCell ref="E37:H37"/>
    <mergeCell ref="E38:H38"/>
    <mergeCell ref="E39:H39"/>
    <mergeCell ref="E40:H40"/>
    <mergeCell ref="E41:H41"/>
    <mergeCell ref="K48:L48"/>
    <mergeCell ref="O32:P32"/>
    <mergeCell ref="B15:H15"/>
    <mergeCell ref="B32:H32"/>
    <mergeCell ref="K46:L46"/>
    <mergeCell ref="E35:H35"/>
    <mergeCell ref="E42:H42"/>
    <mergeCell ref="E6:H6"/>
    <mergeCell ref="C10:L10"/>
    <mergeCell ref="K34:M34"/>
    <mergeCell ref="O6:P6"/>
    <mergeCell ref="E4:I4"/>
    <mergeCell ref="E5:I5"/>
    <mergeCell ref="E97:F97"/>
    <mergeCell ref="E57:L57"/>
    <mergeCell ref="G62:I62"/>
    <mergeCell ref="E95:L95"/>
    <mergeCell ref="B55:H55"/>
    <mergeCell ref="B93:H93"/>
    <mergeCell ref="F34:J34"/>
  </mergeCells>
  <conditionalFormatting sqref="F63:F88">
    <cfRule type="cellIs" dxfId="48" priority="21" stopIfTrue="1" operator="equal">
      <formula>0</formula>
    </cfRule>
    <cfRule type="cellIs" dxfId="47" priority="22" stopIfTrue="1" operator="lessThan">
      <formula>$F$62</formula>
    </cfRule>
    <cfRule type="cellIs" dxfId="46" priority="23" stopIfTrue="1" operator="greaterThan">
      <formula>$E$6</formula>
    </cfRule>
  </conditionalFormatting>
  <conditionalFormatting sqref="J41">
    <cfRule type="expression" dxfId="45" priority="3">
      <formula>$J$40="Year of Loan"</formula>
    </cfRule>
  </conditionalFormatting>
  <conditionalFormatting sqref="J44:J45">
    <cfRule type="expression" dxfId="44" priority="1">
      <formula>$J$40="Year of Loan"</formula>
    </cfRule>
  </conditionalFormatting>
  <conditionalFormatting sqref="J47">
    <cfRule type="cellIs" dxfId="43" priority="8" stopIfTrue="1" operator="equal">
      <formula>"Credit Account"</formula>
    </cfRule>
  </conditionalFormatting>
  <conditionalFormatting sqref="J48">
    <cfRule type="expression" dxfId="42" priority="2">
      <formula>$J$40="Year of Loan"</formula>
    </cfRule>
  </conditionalFormatting>
  <conditionalFormatting sqref="J50">
    <cfRule type="expression" dxfId="41" priority="24">
      <formula>J53="Reconciled"</formula>
    </cfRule>
    <cfRule type="expression" dxfId="40" priority="25">
      <formula>J53="Out of Balance"</formula>
    </cfRule>
  </conditionalFormatting>
  <conditionalFormatting sqref="J51">
    <cfRule type="expression" dxfId="39" priority="26">
      <formula>J53="Reconciled"</formula>
    </cfRule>
    <cfRule type="expression" dxfId="38" priority="27">
      <formula>J53="Out of Balance"</formula>
    </cfRule>
  </conditionalFormatting>
  <conditionalFormatting sqref="J52">
    <cfRule type="expression" dxfId="37" priority="28">
      <formula>J53="Reconciled"</formula>
    </cfRule>
    <cfRule type="expression" dxfId="36" priority="29">
      <formula>J53="Out of Balance"</formula>
    </cfRule>
  </conditionalFormatting>
  <conditionalFormatting sqref="K5:K6 J7">
    <cfRule type="cellIs" dxfId="35" priority="11" operator="equal">
      <formula>"Partner Approved"</formula>
    </cfRule>
    <cfRule type="cellIs" dxfId="34" priority="12" operator="equal">
      <formula>"Reviewed"</formula>
    </cfRule>
    <cfRule type="cellIs" dxfId="33" priority="13" operator="equal">
      <formula>"Rework Complete"</formula>
    </cfRule>
    <cfRule type="cellIs" dxfId="32" priority="14" operator="equal">
      <formula>"Client Query"</formula>
    </cfRule>
    <cfRule type="cellIs" dxfId="31" priority="15" operator="equal">
      <formula>"Started"</formula>
    </cfRule>
    <cfRule type="cellIs" dxfId="30" priority="16" operator="equal">
      <formula>"Ready for Review"</formula>
    </cfRule>
    <cfRule type="cellIs" dxfId="29" priority="17" operator="equal">
      <formula>"Rework Required"</formula>
    </cfRule>
    <cfRule type="cellIs" dxfId="28" priority="18" operator="equal">
      <formula>"Complete"</formula>
    </cfRule>
  </conditionalFormatting>
  <conditionalFormatting sqref="K43:L43">
    <cfRule type="expression" dxfId="27" priority="4">
      <formula>$J$40="Year of Loan"</formula>
    </cfRule>
  </conditionalFormatting>
  <conditionalFormatting sqref="K46:L46">
    <cfRule type="cellIs" dxfId="26" priority="9" stopIfTrue="1" operator="equal">
      <formula>"Credit Account"</formula>
    </cfRule>
  </conditionalFormatting>
  <conditionalFormatting sqref="K48:L48">
    <cfRule type="expression" dxfId="25" priority="5">
      <formula>AND($J$40&lt;&gt;"Year of Loan",$J$48&gt;0)</formula>
    </cfRule>
  </conditionalFormatting>
  <conditionalFormatting sqref="L6">
    <cfRule type="expression" dxfId="24" priority="6">
      <formula>$J$53="Reconciled"</formula>
    </cfRule>
    <cfRule type="expression" dxfId="23" priority="7">
      <formula>$J$53="Out of Balance"</formula>
    </cfRule>
  </conditionalFormatting>
  <dataValidations count="9">
    <dataValidation allowBlank="1" showInputMessage="1" showErrorMessage="1" prompt="The earlier of the due date for lodgement and the date of lodgement for company's tax return for the applicable income year." sqref="J42" xr:uid="{1A4164A9-4682-4775-AE23-171A738774D9}"/>
    <dataValidation type="whole" operator="lessThanOrEqual" allowBlank="1" showInputMessage="1" showErrorMessage="1" error="Maximum term is 7 years for unsecured loans and 25 years for secured loans." sqref="J39" xr:uid="{F551D566-7EB5-4E72-A90E-7C3229CD827A}">
      <formula1>IF(J36="Unsecured",7,25)</formula1>
    </dataValidation>
    <dataValidation type="list" allowBlank="1" showInputMessage="1" showErrorMessage="1" sqref="J36" xr:uid="{B213D377-E953-4CB0-BFF2-B7D203C72938}">
      <formula1>"Secured,Unsecured"</formula1>
    </dataValidation>
    <dataValidation allowBlank="1" showInputMessage="1" showErrorMessage="1" prompt="The ATO interprets Div 7A to mean that repayments take effect at the beginning of the day of repayment. A repayment on 30 June should be entered in the table as normal. This row calculates interest from the last repayment to the end of 30 June." sqref="I89" xr:uid="{D58AD333-E62C-433B-A052-191F947CCBA0}"/>
    <dataValidation allowBlank="1" showInputMessage="1" showErrorMessage="1" prompt="As interest is not payable for the remainder of the year where a loan is fully repaid, there may be a shortfall compared to the minimum repayment.  That under-repayment does not breach Division 7A and can be ignored." sqref="I99" xr:uid="{CE4CB806-84D1-4450-B6B6-D71BE17C26BA}"/>
    <dataValidation allowBlank="1" showInputMessage="1" showErrorMessage="1" prompt="If the loan is an existing loan at the beginning of the year, any drawdowns will become a new loan. Use these cells for new loans only._x000a_" sqref="G63:G88" xr:uid="{81F96081-E0ED-4594-B861-5E238F3C6B68}"/>
    <dataValidation allowBlank="1" showInputMessage="1" showErrorMessage="1" prompt="If the loan is repaid in full before the end of the year, the minimum repayment is the principal plus interest calculated to the date of the repayment. That amount will be less than the amount shown here." sqref="J44" xr:uid="{04C31422-A90D-4EB0-BA03-6FDFCC120342}"/>
    <dataValidation type="list" allowBlank="1" showInputMessage="1" showErrorMessage="1" sqref="I34:J34 G34:H35 F35" xr:uid="{D4658813-3572-4924-801E-3191BAEB732A}">
      <formula1>CategoryList</formula1>
    </dataValidation>
    <dataValidation type="list" allowBlank="1" showInputMessage="1" showErrorMessage="1" sqref="F34" xr:uid="{F2DFDE1D-A113-4735-B9EC-4B04C7BFF4C6}">
      <formula1>CategoryList</formula1>
    </dataValidation>
  </dataValidations>
  <hyperlinks>
    <hyperlink ref="L4" location="'G31 Div 7A Loan Calculator'!Go_Index" tooltip="Go to Record" display="Show Record" xr:uid="{57770213-CC2B-410A-989D-8CFD7BBAB07C}"/>
    <hyperlink ref="O6" location="'G31 Div 7A Loan Calculator'!Go_RefreshSummary" tooltip="Refresh Summary" display="Refresh" xr:uid="{F3526B21-6E7E-426C-A888-3D333975F2E2}"/>
    <hyperlink ref="F11:L11" r:id="rId1" tooltip="Go to ITAA Act 1936 s109R" display="ATO Section 109R Some Payments Relating to Loans not Taken into Account" xr:uid="{47260A3B-87FF-44BA-8928-D30E4464D27B}"/>
    <hyperlink ref="F12:L12" r:id="rId2" tooltip="Go to ATO website" display="ATO Division 7A and trusts" xr:uid="{C6DB9D09-8629-461A-93D5-2356C27B4759}"/>
    <hyperlink ref="F13:L13" r:id="rId3" tooltip="Go to ATO website" display="ATO Division 7A calculator and decision tool" xr:uid="{6B7F6CA9-CFAD-478D-841B-233AE9CC7009}"/>
    <hyperlink ref="A15:G15" location="'G31 Div 7A Loan Calculator'!Go_RollUp_03" tooltip="Show/hide cells" display="'Div 7A Calculator'!Go_RollUp_03" xr:uid="{C7970256-4BAC-4E94-88C2-4557A91E3A67}"/>
    <hyperlink ref="A55:G55" location="'G31 Div 7A Loan Calculator'!Go_RollUp_06" tooltip="Show/hide cells" display="'Div 7A Calculator'!Go_RollUp_06" xr:uid="{2CD8CDE9-63F3-4AF0-A824-D6830F26D108}"/>
    <hyperlink ref="A93:G93" location="'G31 Div 7A Loan Calculator'!Go_RollUp_07" tooltip="Show/hide cells" display="'Div 7A Calculator'!Go_RollUp_07" xr:uid="{0E8F8E9C-5C6F-44E2-8929-8581EC1F648B}"/>
    <hyperlink ref="A10" location="'G31 Div 7A Loan Calculator'!Go_RollUp_01" tooltip="Show/hide" display="'Div 7A Calculator'!Go_RollUp_01" xr:uid="{0602E94A-D76B-4576-8C23-10F11654C4BB}"/>
    <hyperlink ref="L6" location="'G31 Div 7A Loan Calculator'!Go_Variance_01" tooltip="Go to Reconciliation" display="'Div 7A Calculator'!Go_Variance_01" xr:uid="{F62F6787-C269-47BE-BDC6-695F5F51EC1A}"/>
    <hyperlink ref="O6:P6" location="'G31 Div 7A Loan Calculator'!Go_RefreshSummary" tooltip="Refresh the G32 Division 7A Summary worksheet" display="P Refresh" xr:uid="{5B883CA3-56D0-4883-9BA8-4619AF1E41B0}"/>
  </hyperlinks>
  <pageMargins left="0.74803149606299213" right="0.74803149606299213" top="0.98425196850393704" bottom="0.98425196850393704" header="0.51181102362204722" footer="0.51181102362204722"/>
  <pageSetup paperSize="9" scale="59" fitToHeight="3" orientation="portrait" horizontalDpi="300" verticalDpi="300" r:id="rId4"/>
  <headerFooter alignWithMargins="0">
    <oddFooter>&amp;L&amp;F
Copyright(c) 2005-Present Business Fitness Pty Ltd&amp;R&amp;A  Page   &amp;"Arial,Regular"&amp;P</oddFooter>
  </headerFooter>
  <rowBreaks count="2" manualBreakCount="2">
    <brk id="54" min="1" max="11" man="1"/>
    <brk id="92" min="1" max="11" man="1"/>
  </rowBreaks>
  <customProperties>
    <customPr name="SheetId" r:id="rId5"/>
    <customPr name="SheetName" r:id="rId6"/>
  </customProperties>
  <extLst>
    <ext xmlns:x15="http://schemas.microsoft.com/office/spreadsheetml/2010/11/main" uri="{F7C9EE02-42E1-4005-9D12-6889AFFD525C}">
      <x15:webExtensions xmlns:xm="http://schemas.microsoft.com/office/excel/2006/main">
        <x15:webExtension appRef="{B0E9F1E3-C798-4678-A7B5-674CF79B0CDD}">
          <xm:f>'G31 Div 7A Loan Calculator'!G31_LoanBalance</xm:f>
        </x15:webExtension>
        <x15:webExtension appRef="{95A8F76D-F23D-4579-B350-8FA691E94260}">
          <xm:f>'G31 Div 7A Loan Calculator'!Reconcile_LoanBalance</xm:f>
        </x15:webExtension>
      </x15:webExtens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6F883-39EF-4644-BCF6-85D21580B6B9}">
  <sheetPr>
    <tabColor theme="0" tint="-0.14999847407452621"/>
    <pageSetUpPr fitToPage="1"/>
  </sheetPr>
  <dimension ref="A1:V92"/>
  <sheetViews>
    <sheetView showGridLines="0" topLeftCell="A10" zoomScaleNormal="100" workbookViewId="0">
      <selection activeCell="L71" sqref="L71:M71"/>
    </sheetView>
  </sheetViews>
  <sheetFormatPr defaultColWidth="9.140625" defaultRowHeight="15"/>
  <cols>
    <col min="1" max="1" width="4.28515625" style="23" customWidth="1"/>
    <col min="2" max="2" width="1.42578125" style="23" customWidth="1"/>
    <col min="3" max="3" width="42.7109375" style="23" customWidth="1"/>
    <col min="4" max="4" width="4.28515625" style="23" customWidth="1"/>
    <col min="5" max="6" width="7.140625" style="23" hidden="1" customWidth="1"/>
    <col min="7" max="10" width="15.7109375" style="23" customWidth="1"/>
    <col min="11" max="11" width="2.28515625" style="23" customWidth="1"/>
    <col min="12" max="13" width="15.7109375" style="23" customWidth="1"/>
    <col min="14" max="14" width="1.42578125" style="23" customWidth="1"/>
    <col min="15" max="15" width="4.28515625" style="23" customWidth="1"/>
    <col min="16" max="17" width="15.7109375" style="24" customWidth="1"/>
    <col min="18" max="21" width="9.140625" style="23"/>
    <col min="22" max="22" width="9.140625" style="23" hidden="1" customWidth="1"/>
    <col min="23" max="16384" width="9.140625" style="23"/>
  </cols>
  <sheetData>
    <row r="1" spans="1:22" ht="21" hidden="1" customHeight="1">
      <c r="C1" s="94" t="s">
        <v>115</v>
      </c>
      <c r="D1" s="23" t="s">
        <v>114</v>
      </c>
      <c r="I1" s="93"/>
      <c r="L1" s="92" t="s">
        <v>113</v>
      </c>
      <c r="M1" s="23" t="str" cm="1">
        <f t="array" ref="M1">IFERROR(Tm_Jurisdiction,"AU")</f>
        <v>AU</v>
      </c>
      <c r="V1" s="91" t="s">
        <v>112</v>
      </c>
    </row>
    <row r="2" spans="1:22" ht="7.5" customHeight="1"/>
    <row r="3" spans="1:22" ht="24.95" customHeight="1">
      <c r="C3" s="90" t="s">
        <v>111</v>
      </c>
      <c r="M3" s="95" t="s">
        <v>116</v>
      </c>
      <c r="P3" s="89" t="s">
        <v>110</v>
      </c>
      <c r="Q3" s="88" t="s">
        <v>109</v>
      </c>
    </row>
    <row r="4" spans="1:22" ht="22.5" customHeight="1">
      <c r="C4" s="87" t="str">
        <f>_xlfn.TEXTJOIN(" ",1,IFERROR(_xlfn.SINGLE(Cl_Name),"Client Name"),IF(IFERROR(_xlfn.SINGLE(Cl_Code),"")="","","("&amp;_xlfn.SINGLE(Cl_Code)&amp;")"))</f>
        <v>Springrange Holdings Pty Ltd (MuM001)</v>
      </c>
    </row>
    <row r="5" spans="1:22" ht="22.5" customHeight="1">
      <c r="C5" s="86">
        <f>IFERROR(_xlfn.SINGLE(PeriodEndDate),DATE(1901,1,1))</f>
        <v>45473</v>
      </c>
    </row>
    <row r="6" spans="1:22" ht="7.5" customHeight="1">
      <c r="B6" s="85"/>
      <c r="C6" s="84"/>
      <c r="D6" s="84"/>
      <c r="E6" s="84"/>
      <c r="F6" s="84"/>
      <c r="G6" s="84"/>
      <c r="H6" s="84"/>
      <c r="I6" s="84"/>
      <c r="J6" s="84"/>
      <c r="K6" s="84"/>
      <c r="L6" s="84"/>
      <c r="M6" s="84"/>
      <c r="N6" s="84"/>
    </row>
    <row r="7" spans="1:22" ht="7.5" customHeight="1"/>
    <row r="8" spans="1:22" ht="17.25" customHeight="1">
      <c r="C8" s="83" t="s">
        <v>108</v>
      </c>
      <c r="D8" s="83"/>
      <c r="E8" s="83"/>
      <c r="F8" s="83"/>
      <c r="G8" s="83"/>
      <c r="H8" s="83"/>
      <c r="I8" s="83"/>
      <c r="J8" s="83"/>
      <c r="K8" s="83"/>
      <c r="L8" s="83"/>
      <c r="M8" s="83"/>
    </row>
    <row r="9" spans="1:22" ht="17.25" customHeight="1">
      <c r="C9" s="82" t="s">
        <v>107</v>
      </c>
      <c r="D9" s="82"/>
      <c r="E9" s="82"/>
      <c r="F9" s="82"/>
      <c r="G9" s="82"/>
      <c r="H9" s="82"/>
      <c r="I9" s="82"/>
      <c r="J9" s="82"/>
      <c r="K9" s="82"/>
      <c r="L9" s="82"/>
      <c r="M9" s="82"/>
    </row>
    <row r="10" spans="1:22" ht="21" customHeight="1">
      <c r="A10" s="81"/>
    </row>
    <row r="11" spans="1:22" ht="22.5" customHeight="1">
      <c r="B11" s="46" t="s">
        <v>106</v>
      </c>
      <c r="C11" s="45"/>
      <c r="D11" s="44"/>
      <c r="G11" s="80"/>
    </row>
    <row r="12" spans="1:22" s="74" customFormat="1" ht="7.5" customHeight="1">
      <c r="B12" s="76"/>
      <c r="C12" s="67"/>
      <c r="D12" s="67"/>
      <c r="E12" s="79"/>
      <c r="F12" s="79"/>
      <c r="G12" s="78"/>
      <c r="H12" s="78"/>
      <c r="I12" s="78"/>
      <c r="J12" s="78"/>
      <c r="K12" s="78"/>
      <c r="L12" s="78"/>
      <c r="M12" s="78"/>
      <c r="N12" s="77"/>
    </row>
    <row r="13" spans="1:22" s="74" customFormat="1" ht="22.5" customHeight="1">
      <c r="B13" s="76"/>
      <c r="C13" s="67"/>
      <c r="D13" s="67"/>
      <c r="E13" s="67"/>
      <c r="F13" s="67"/>
      <c r="G13" s="67"/>
      <c r="H13" s="67"/>
      <c r="I13" s="55" t="s">
        <v>105</v>
      </c>
      <c r="J13" s="54">
        <v>1</v>
      </c>
      <c r="K13" s="67"/>
      <c r="L13" s="53" t="s">
        <v>93</v>
      </c>
      <c r="M13" s="52"/>
      <c r="N13" s="75"/>
    </row>
    <row r="14" spans="1:22" s="74" customFormat="1" ht="7.5" customHeight="1">
      <c r="B14" s="76"/>
      <c r="C14" s="67"/>
      <c r="D14" s="67"/>
      <c r="E14" s="67"/>
      <c r="F14" s="67"/>
      <c r="G14" s="67"/>
      <c r="H14" s="67"/>
      <c r="I14" s="67"/>
      <c r="J14" s="67"/>
      <c r="K14" s="67"/>
      <c r="L14" s="67"/>
      <c r="M14" s="67"/>
      <c r="N14" s="75"/>
    </row>
    <row r="15" spans="1:22" ht="39" customHeight="1">
      <c r="B15" s="68"/>
      <c r="C15" s="73" t="s">
        <v>104</v>
      </c>
      <c r="D15" s="72"/>
      <c r="E15" s="72"/>
      <c r="F15" s="72"/>
      <c r="G15" s="72" t="s">
        <v>103</v>
      </c>
      <c r="H15" s="72" t="s">
        <v>102</v>
      </c>
      <c r="I15" s="72" t="s">
        <v>101</v>
      </c>
      <c r="J15" s="72" t="s">
        <v>100</v>
      </c>
      <c r="K15" s="72"/>
      <c r="L15" s="72" t="s">
        <v>99</v>
      </c>
      <c r="M15" s="71" t="s">
        <v>98</v>
      </c>
      <c r="N15" s="32"/>
      <c r="P15" s="70" t="s">
        <v>97</v>
      </c>
      <c r="Q15" s="69"/>
    </row>
    <row r="16" spans="1:22" ht="7.5" customHeight="1">
      <c r="B16" s="68"/>
      <c r="C16" s="67"/>
      <c r="D16" s="67"/>
      <c r="E16" s="67"/>
      <c r="F16" s="67"/>
      <c r="G16" s="67"/>
      <c r="H16" s="67"/>
      <c r="I16" s="67"/>
      <c r="J16" s="67"/>
      <c r="K16" s="67"/>
      <c r="L16" s="67"/>
      <c r="M16" s="67"/>
      <c r="N16" s="32"/>
    </row>
    <row r="17" spans="2:22" ht="17.25" customHeight="1">
      <c r="B17" s="36"/>
      <c r="C17" s="66" t="str" cm="1">
        <f t="array" aca="1" ref="C17" ca="1">IFERROR(_xlfn.UNIQUE(_xlfn._xlws.FILTER(INDIRECT("HNSW_Summary!$A:$A"),ISNUMBER(SEARCH("*G31",INDIRECT("HNSW_Summary!$B:$B")))+ISNUMBER(SEARCH("*D08",INDIRECT("HNSW_Summary!$B:$B"))))),"...")</f>
        <v>Director Loan - 2023</v>
      </c>
      <c r="D17" s="65" t="str">
        <f ca="1">IF(C17=E17, HYPERLINK("#'" &amp; VLOOKUP(C17,INDIRECT("HNSW_Summary!$A:$B"),2,0) &amp; "'!A1", "}"), "}")</f>
        <v>}</v>
      </c>
      <c r="E17" s="64" t="str">
        <f ca="1">VLOOKUP(C17,INDIRECT("HNSW_Summary!$A:$B"),1,0)</f>
        <v>Director Loan - 2023</v>
      </c>
      <c r="F17" s="63" t="str">
        <f ca="1">IFERROR(INDEX(INDIRECT("HNSW_Summary!A:Z"),MATCH(C17,INDIRECT("HNSW_Summary!A:A"), 0),MATCH("Director",INDIRECT("HNSW_Summary!1:1"),0)),"")</f>
        <v>Director A</v>
      </c>
      <c r="G17" s="63">
        <f ca="1">SUMIF(INDIRECT("HNSW_Summary!A:A"),C17,INDEX(INDIRECT("HNSW_Summary!A:Z"),0,MATCH("OpBalance",INDIRECT("HNSW_Summary!1:1"),0)))</f>
        <v>10000</v>
      </c>
      <c r="H17" s="63">
        <f ca="1">SUMIF(INDIRECT("HNSW_Summary!A:A"),C17,INDEX(INDIRECT("HNSW_Summary!A:Z"),0,MATCH("Repayments",INDIRECT("HNSW_Summary!1:1"),0)))</f>
        <v>0</v>
      </c>
      <c r="I17" s="63">
        <f ca="1">SUMIF(INDIRECT("HNSW_Summary!A:A"),C17,INDEX(INDIRECT("HNSW_Summary!A:Z"),0,MATCH("Interest",INDIRECT("HNSW_Summary!1:1"),0)))</f>
        <v>827</v>
      </c>
      <c r="J17" s="63">
        <f ca="1">SUMIF(INDIRECT("HNSW_Summary!A:A"),C17,INDEX(INDIRECT("HNSW_Summary!A:Z"),0,MATCH("ClBalance",INDIRECT("HNSW_Summary!1:1"),0)))</f>
        <v>10827</v>
      </c>
      <c r="K17" s="35"/>
      <c r="L17" s="63">
        <f ca="1">SUMIF(INDIRECT("HNSW_Summary!A:A"),C17,INDEX(INDIRECT("HNSW_Summary!A:Z"),0,MATCH("MinRepayments",INDIRECT("HNSW_Summary!1:1"),0)))</f>
        <v>2180.9</v>
      </c>
      <c r="M17" s="63">
        <f ca="1">SUMIF(INDIRECT("HNSW_Summary!A:A"),C17,INDEX(INDIRECT("HNSW_Summary!A:Z"),0,MATCH("UnderOver",INDIRECT("HNSW_Summary!1:1"),0)))</f>
        <v>-2180.9</v>
      </c>
      <c r="N17" s="32"/>
      <c r="P17" s="31"/>
      <c r="Q17" s="30"/>
      <c r="V17" s="23" t="b">
        <f>IF(D03_Number_of_Loans&gt;=1,FALSE,TRUE)</f>
        <v>0</v>
      </c>
    </row>
    <row r="18" spans="2:22" ht="17.25" hidden="1" customHeight="1">
      <c r="B18" s="36"/>
      <c r="C18" s="66"/>
      <c r="D18" s="65" t="e">
        <f ca="1">IF(C18=E18, HYPERLINK("#'" &amp; VLOOKUP(C18,INDIRECT("HNSW_Summary!$A:$B"),2,0) &amp; "'!A1", "}"), "}")</f>
        <v>#N/A</v>
      </c>
      <c r="E18" s="64" t="e">
        <f ca="1">VLOOKUP(C18,INDIRECT("HNSW_Summary!$A:$B"),1,0)</f>
        <v>#N/A</v>
      </c>
      <c r="F18" s="63" t="str">
        <f ca="1">IFERROR(INDEX(INDIRECT("HNSW_Summary!A:Z"),MATCH(C18,INDIRECT("HNSW_Summary!A:A"), 0),MATCH("Director",INDIRECT("HNSW_Summary!1:1"),0)),"")</f>
        <v/>
      </c>
      <c r="G18" s="63">
        <f ca="1">SUMIF(INDIRECT("HNSW_Summary!A:A"),C18,INDEX(INDIRECT("HNSW_Summary!A:Z"),0,MATCH("OpBalance",INDIRECT("HNSW_Summary!1:1"),0)))</f>
        <v>0</v>
      </c>
      <c r="H18" s="63">
        <f ca="1">SUMIF(INDIRECT("HNSW_Summary!A:A"),C18,INDEX(INDIRECT("HNSW_Summary!A:Z"),0,MATCH("Repayments",INDIRECT("HNSW_Summary!1:1"),0)))</f>
        <v>0</v>
      </c>
      <c r="I18" s="63">
        <f ca="1">SUMIF(INDIRECT("HNSW_Summary!A:A"),C18,INDEX(INDIRECT("HNSW_Summary!A:Z"),0,MATCH("Interest",INDIRECT("HNSW_Summary!1:1"),0)))</f>
        <v>0</v>
      </c>
      <c r="J18" s="63">
        <f ca="1">SUMIF(INDIRECT("HNSW_Summary!A:A"),C18,INDEX(INDIRECT("HNSW_Summary!A:Z"),0,MATCH("ClBalance",INDIRECT("HNSW_Summary!1:1"),0)))</f>
        <v>0</v>
      </c>
      <c r="K18" s="35"/>
      <c r="L18" s="63">
        <f ca="1">SUMIF(INDIRECT("HNSW_Summary!A:A"),C18,INDEX(INDIRECT("HNSW_Summary!A:Z"),0,MATCH("MinRepayments",INDIRECT("HNSW_Summary!1:1"),0)))</f>
        <v>0</v>
      </c>
      <c r="M18" s="63">
        <f ca="1">SUMIF(INDIRECT("HNSW_Summary!A:A"),C18,INDEX(INDIRECT("HNSW_Summary!A:Z"),0,MATCH("UnderOver",INDIRECT("HNSW_Summary!1:1"),0)))</f>
        <v>0</v>
      </c>
      <c r="N18" s="32"/>
      <c r="P18" s="31"/>
      <c r="Q18" s="30"/>
      <c r="V18" s="23" t="b">
        <f>IF(D03_Number_of_Loans&gt;=2,FALSE,TRUE)</f>
        <v>1</v>
      </c>
    </row>
    <row r="19" spans="2:22" ht="17.25" hidden="1" customHeight="1">
      <c r="B19" s="36"/>
      <c r="C19" s="66"/>
      <c r="D19" s="65" t="e">
        <f ca="1">IF(C19=E19, HYPERLINK("#'" &amp; VLOOKUP(C19,INDIRECT("HNSW_Summary!$A:$B"),2,0) &amp; "'!A1", "}"), "}")</f>
        <v>#N/A</v>
      </c>
      <c r="E19" s="64" t="e">
        <f ca="1">VLOOKUP(C19,INDIRECT("HNSW_Summary!$A:$B"),1,0)</f>
        <v>#N/A</v>
      </c>
      <c r="F19" s="63" t="str">
        <f ca="1">IFERROR(INDEX(INDIRECT("HNSW_Summary!A:Z"),MATCH(C19,INDIRECT("HNSW_Summary!A:A"), 0),MATCH("Director",INDIRECT("HNSW_Summary!1:1"),0)),"")</f>
        <v/>
      </c>
      <c r="G19" s="63">
        <f ca="1">SUMIF(INDIRECT("HNSW_Summary!A:A"),C19,INDEX(INDIRECT("HNSW_Summary!A:Z"),0,MATCH("OpBalance",INDIRECT("HNSW_Summary!1:1"),0)))</f>
        <v>0</v>
      </c>
      <c r="H19" s="63">
        <f ca="1">SUMIF(INDIRECT("HNSW_Summary!A:A"),C19,INDEX(INDIRECT("HNSW_Summary!A:Z"),0,MATCH("Repayments",INDIRECT("HNSW_Summary!1:1"),0)))</f>
        <v>0</v>
      </c>
      <c r="I19" s="63">
        <f ca="1">SUMIF(INDIRECT("HNSW_Summary!A:A"),C19,INDEX(INDIRECT("HNSW_Summary!A:Z"),0,MATCH("Interest",INDIRECT("HNSW_Summary!1:1"),0)))</f>
        <v>0</v>
      </c>
      <c r="J19" s="63">
        <f ca="1">SUMIF(INDIRECT("HNSW_Summary!A:A"),C19,INDEX(INDIRECT("HNSW_Summary!A:Z"),0,MATCH("ClBalance",INDIRECT("HNSW_Summary!1:1"),0)))</f>
        <v>0</v>
      </c>
      <c r="K19" s="35"/>
      <c r="L19" s="63">
        <f ca="1">SUMIF(INDIRECT("HNSW_Summary!A:A"),C19,INDEX(INDIRECT("HNSW_Summary!A:Z"),0,MATCH("MinRepayments",INDIRECT("HNSW_Summary!1:1"),0)))</f>
        <v>0</v>
      </c>
      <c r="M19" s="63">
        <f ca="1">SUMIF(INDIRECT("HNSW_Summary!A:A"),C19,INDEX(INDIRECT("HNSW_Summary!A:Z"),0,MATCH("UnderOver",INDIRECT("HNSW_Summary!1:1"),0)))</f>
        <v>0</v>
      </c>
      <c r="N19" s="32"/>
      <c r="P19" s="31"/>
      <c r="Q19" s="30"/>
      <c r="V19" s="23" t="b">
        <f>IF(D03_Number_of_Loans&gt;=3,FALSE,TRUE)</f>
        <v>1</v>
      </c>
    </row>
    <row r="20" spans="2:22" ht="17.25" hidden="1" customHeight="1">
      <c r="B20" s="36"/>
      <c r="C20" s="66"/>
      <c r="D20" s="65" t="e">
        <f ca="1">IF(C20=E20, HYPERLINK("#'" &amp; VLOOKUP(C20,INDIRECT("HNSW_Summary!$A:$B"),2,0) &amp; "'!A1", "}"), "}")</f>
        <v>#N/A</v>
      </c>
      <c r="E20" s="64" t="e">
        <f ca="1">VLOOKUP(C20,INDIRECT("HNSW_Summary!$A:$B"),1,0)</f>
        <v>#N/A</v>
      </c>
      <c r="F20" s="63" t="str">
        <f ca="1">IFERROR(INDEX(INDIRECT("HNSW_Summary!A:Z"),MATCH(C20,INDIRECT("HNSW_Summary!A:A"), 0),MATCH("Director",INDIRECT("HNSW_Summary!1:1"),0)),"")</f>
        <v/>
      </c>
      <c r="G20" s="63">
        <f ca="1">SUMIF(INDIRECT("HNSW_Summary!A:A"),C20,INDEX(INDIRECT("HNSW_Summary!A:Z"),0,MATCH("OpBalance",INDIRECT("HNSW_Summary!1:1"),0)))</f>
        <v>0</v>
      </c>
      <c r="H20" s="63">
        <f ca="1">SUMIF(INDIRECT("HNSW_Summary!A:A"),C20,INDEX(INDIRECT("HNSW_Summary!A:Z"),0,MATCH("Repayments",INDIRECT("HNSW_Summary!1:1"),0)))</f>
        <v>0</v>
      </c>
      <c r="I20" s="63">
        <f ca="1">SUMIF(INDIRECT("HNSW_Summary!A:A"),C20,INDEX(INDIRECT("HNSW_Summary!A:Z"),0,MATCH("Interest",INDIRECT("HNSW_Summary!1:1"),0)))</f>
        <v>0</v>
      </c>
      <c r="J20" s="63">
        <f ca="1">SUMIF(INDIRECT("HNSW_Summary!A:A"),C20,INDEX(INDIRECT("HNSW_Summary!A:Z"),0,MATCH("ClBalance",INDIRECT("HNSW_Summary!1:1"),0)))</f>
        <v>0</v>
      </c>
      <c r="K20" s="35"/>
      <c r="L20" s="63">
        <f ca="1">SUMIF(INDIRECT("HNSW_Summary!A:A"),C20,INDEX(INDIRECT("HNSW_Summary!A:Z"),0,MATCH("MinRepayments",INDIRECT("HNSW_Summary!1:1"),0)))</f>
        <v>0</v>
      </c>
      <c r="M20" s="63">
        <f ca="1">SUMIF(INDIRECT("HNSW_Summary!A:A"),C20,INDEX(INDIRECT("HNSW_Summary!A:Z"),0,MATCH("UnderOver",INDIRECT("HNSW_Summary!1:1"),0)))</f>
        <v>0</v>
      </c>
      <c r="N20" s="32"/>
      <c r="P20" s="31"/>
      <c r="Q20" s="30"/>
      <c r="V20" s="23" t="b">
        <f>IF(D03_Number_of_Loans&gt;=4,FALSE,TRUE)</f>
        <v>1</v>
      </c>
    </row>
    <row r="21" spans="2:22" ht="17.25" hidden="1" customHeight="1">
      <c r="B21" s="36"/>
      <c r="C21" s="66"/>
      <c r="D21" s="65" t="e">
        <f ca="1">IF(C21=E21, HYPERLINK("#'" &amp; VLOOKUP(C21,INDIRECT("HNSW_Summary!$A:$B"),2,0) &amp; "'!A1", "}"), "}")</f>
        <v>#N/A</v>
      </c>
      <c r="E21" s="64" t="e">
        <f ca="1">VLOOKUP(C21,INDIRECT("HNSW_Summary!$A:$B"),1,0)</f>
        <v>#N/A</v>
      </c>
      <c r="F21" s="63" t="str">
        <f ca="1">IFERROR(INDEX(INDIRECT("HNSW_Summary!A:Z"),MATCH(C21,INDIRECT("HNSW_Summary!A:A"), 0),MATCH("Director",INDIRECT("HNSW_Summary!1:1"),0)),"")</f>
        <v/>
      </c>
      <c r="G21" s="63">
        <f ca="1">SUMIF(INDIRECT("HNSW_Summary!A:A"),C21,INDEX(INDIRECT("HNSW_Summary!A:Z"),0,MATCH("OpBalance",INDIRECT("HNSW_Summary!1:1"),0)))</f>
        <v>0</v>
      </c>
      <c r="H21" s="63">
        <f ca="1">SUMIF(INDIRECT("HNSW_Summary!A:A"),C21,INDEX(INDIRECT("HNSW_Summary!A:Z"),0,MATCH("Repayments",INDIRECT("HNSW_Summary!1:1"),0)))</f>
        <v>0</v>
      </c>
      <c r="I21" s="63">
        <f ca="1">SUMIF(INDIRECT("HNSW_Summary!A:A"),C21,INDEX(INDIRECT("HNSW_Summary!A:Z"),0,MATCH("Interest",INDIRECT("HNSW_Summary!1:1"),0)))</f>
        <v>0</v>
      </c>
      <c r="J21" s="63">
        <f ca="1">SUMIF(INDIRECT("HNSW_Summary!A:A"),C21,INDEX(INDIRECT("HNSW_Summary!A:Z"),0,MATCH("ClBalance",INDIRECT("HNSW_Summary!1:1"),0)))</f>
        <v>0</v>
      </c>
      <c r="K21" s="35"/>
      <c r="L21" s="63">
        <f ca="1">SUMIF(INDIRECT("HNSW_Summary!A:A"),C21,INDEX(INDIRECT("HNSW_Summary!A:Z"),0,MATCH("MinRepayments",INDIRECT("HNSW_Summary!1:1"),0)))</f>
        <v>0</v>
      </c>
      <c r="M21" s="63">
        <f ca="1">SUMIF(INDIRECT("HNSW_Summary!A:A"),C21,INDEX(INDIRECT("HNSW_Summary!A:Z"),0,MATCH("UnderOver",INDIRECT("HNSW_Summary!1:1"),0)))</f>
        <v>0</v>
      </c>
      <c r="N21" s="32"/>
      <c r="P21" s="31"/>
      <c r="Q21" s="30"/>
      <c r="V21" s="23" t="b">
        <f>IF(D03_Number_of_Loans&gt;=5,FALSE,TRUE)</f>
        <v>1</v>
      </c>
    </row>
    <row r="22" spans="2:22" ht="17.25" hidden="1" customHeight="1">
      <c r="B22" s="36"/>
      <c r="C22" s="66"/>
      <c r="D22" s="65" t="e">
        <f ca="1">IF(C22=E22, HYPERLINK("#'" &amp; VLOOKUP(C22,INDIRECT("HNSW_Summary!$A:$B"),2,0) &amp; "'!A1", "}"), "}")</f>
        <v>#N/A</v>
      </c>
      <c r="E22" s="64" t="e">
        <f ca="1">VLOOKUP(C22,INDIRECT("HNSW_Summary!$A:$B"),1,0)</f>
        <v>#N/A</v>
      </c>
      <c r="F22" s="63" t="str">
        <f ca="1">IFERROR(INDEX(INDIRECT("HNSW_Summary!A:Z"),MATCH(C22,INDIRECT("HNSW_Summary!A:A"), 0),MATCH("Director",INDIRECT("HNSW_Summary!1:1"),0)),"")</f>
        <v/>
      </c>
      <c r="G22" s="63">
        <f ca="1">SUMIF(INDIRECT("HNSW_Summary!A:A"),C22,INDEX(INDIRECT("HNSW_Summary!A:Z"),0,MATCH("OpBalance",INDIRECT("HNSW_Summary!1:1"),0)))</f>
        <v>0</v>
      </c>
      <c r="H22" s="63">
        <f ca="1">SUMIF(INDIRECT("HNSW_Summary!A:A"),C22,INDEX(INDIRECT("HNSW_Summary!A:Z"),0,MATCH("Repayments",INDIRECT("HNSW_Summary!1:1"),0)))</f>
        <v>0</v>
      </c>
      <c r="I22" s="63">
        <f ca="1">SUMIF(INDIRECT("HNSW_Summary!A:A"),C22,INDEX(INDIRECT("HNSW_Summary!A:Z"),0,MATCH("Interest",INDIRECT("HNSW_Summary!1:1"),0)))</f>
        <v>0</v>
      </c>
      <c r="J22" s="63">
        <f ca="1">SUMIF(INDIRECT("HNSW_Summary!A:A"),C22,INDEX(INDIRECT("HNSW_Summary!A:Z"),0,MATCH("ClBalance",INDIRECT("HNSW_Summary!1:1"),0)))</f>
        <v>0</v>
      </c>
      <c r="K22" s="35"/>
      <c r="L22" s="63">
        <f ca="1">SUMIF(INDIRECT("HNSW_Summary!A:A"),C22,INDEX(INDIRECT("HNSW_Summary!A:Z"),0,MATCH("MinRepayments",INDIRECT("HNSW_Summary!1:1"),0)))</f>
        <v>0</v>
      </c>
      <c r="M22" s="63">
        <f ca="1">SUMIF(INDIRECT("HNSW_Summary!A:A"),C22,INDEX(INDIRECT("HNSW_Summary!A:Z"),0,MATCH("UnderOver",INDIRECT("HNSW_Summary!1:1"),0)))</f>
        <v>0</v>
      </c>
      <c r="N22" s="32"/>
      <c r="P22" s="31"/>
      <c r="Q22" s="30"/>
      <c r="V22" s="23" t="b">
        <f>IF(D03_Number_of_Loans&gt;=6,FALSE,TRUE)</f>
        <v>1</v>
      </c>
    </row>
    <row r="23" spans="2:22" ht="17.25" hidden="1" customHeight="1">
      <c r="B23" s="36"/>
      <c r="C23" s="66"/>
      <c r="D23" s="65" t="e">
        <f ca="1">IF(C23=E23, HYPERLINK("#'" &amp; VLOOKUP(C23,INDIRECT("HNSW_Summary!$A:$B"),2,0) &amp; "'!A1", "}"), "}")</f>
        <v>#N/A</v>
      </c>
      <c r="E23" s="64" t="e">
        <f ca="1">VLOOKUP(C23,INDIRECT("HNSW_Summary!$A:$B"),1,0)</f>
        <v>#N/A</v>
      </c>
      <c r="F23" s="63" t="str">
        <f ca="1">IFERROR(INDEX(INDIRECT("HNSW_Summary!A:Z"),MATCH(C23,INDIRECT("HNSW_Summary!A:A"), 0),MATCH("Director",INDIRECT("HNSW_Summary!1:1"),0)),"")</f>
        <v/>
      </c>
      <c r="G23" s="63">
        <f ca="1">SUMIF(INDIRECT("HNSW_Summary!A:A"),C23,INDEX(INDIRECT("HNSW_Summary!A:Z"),0,MATCH("OpBalance",INDIRECT("HNSW_Summary!1:1"),0)))</f>
        <v>0</v>
      </c>
      <c r="H23" s="63">
        <f ca="1">SUMIF(INDIRECT("HNSW_Summary!A:A"),C23,INDEX(INDIRECT("HNSW_Summary!A:Z"),0,MATCH("Repayments",INDIRECT("HNSW_Summary!1:1"),0)))</f>
        <v>0</v>
      </c>
      <c r="I23" s="63">
        <f ca="1">SUMIF(INDIRECT("HNSW_Summary!A:A"),C23,INDEX(INDIRECT("HNSW_Summary!A:Z"),0,MATCH("Interest",INDIRECT("HNSW_Summary!1:1"),0)))</f>
        <v>0</v>
      </c>
      <c r="J23" s="63">
        <f ca="1">SUMIF(INDIRECT("HNSW_Summary!A:A"),C23,INDEX(INDIRECT("HNSW_Summary!A:Z"),0,MATCH("ClBalance",INDIRECT("HNSW_Summary!1:1"),0)))</f>
        <v>0</v>
      </c>
      <c r="K23" s="35"/>
      <c r="L23" s="63">
        <f ca="1">SUMIF(INDIRECT("HNSW_Summary!A:A"),C23,INDEX(INDIRECT("HNSW_Summary!A:Z"),0,MATCH("MinRepayments",INDIRECT("HNSW_Summary!1:1"),0)))</f>
        <v>0</v>
      </c>
      <c r="M23" s="63">
        <f ca="1">SUMIF(INDIRECT("HNSW_Summary!A:A"),C23,INDEX(INDIRECT("HNSW_Summary!A:Z"),0,MATCH("UnderOver",INDIRECT("HNSW_Summary!1:1"),0)))</f>
        <v>0</v>
      </c>
      <c r="N23" s="32"/>
      <c r="P23" s="31"/>
      <c r="Q23" s="30"/>
      <c r="V23" s="23" t="b">
        <f>IF(D03_Number_of_Loans&gt;=7,FALSE,TRUE)</f>
        <v>1</v>
      </c>
    </row>
    <row r="24" spans="2:22" ht="17.25" hidden="1" customHeight="1">
      <c r="B24" s="36"/>
      <c r="C24" s="66"/>
      <c r="D24" s="65" t="e">
        <f ca="1">IF(C24=E24, HYPERLINK("#'" &amp; VLOOKUP(C24,INDIRECT("HNSW_Summary!$A:$B"),2,0) &amp; "'!A1", "}"), "}")</f>
        <v>#N/A</v>
      </c>
      <c r="E24" s="64" t="e">
        <f ca="1">VLOOKUP(C24,INDIRECT("HNSW_Summary!$A:$B"),1,0)</f>
        <v>#N/A</v>
      </c>
      <c r="F24" s="63" t="str">
        <f ca="1">IFERROR(INDEX(INDIRECT("HNSW_Summary!A:Z"),MATCH(C24,INDIRECT("HNSW_Summary!A:A"), 0),MATCH("Director",INDIRECT("HNSW_Summary!1:1"),0)),"")</f>
        <v/>
      </c>
      <c r="G24" s="63">
        <f ca="1">SUMIF(INDIRECT("HNSW_Summary!A:A"),C24,INDEX(INDIRECT("HNSW_Summary!A:Z"),0,MATCH("OpBalance",INDIRECT("HNSW_Summary!1:1"),0)))</f>
        <v>0</v>
      </c>
      <c r="H24" s="63">
        <f ca="1">SUMIF(INDIRECT("HNSW_Summary!A:A"),C24,INDEX(INDIRECT("HNSW_Summary!A:Z"),0,MATCH("Repayments",INDIRECT("HNSW_Summary!1:1"),0)))</f>
        <v>0</v>
      </c>
      <c r="I24" s="63">
        <f ca="1">SUMIF(INDIRECT("HNSW_Summary!A:A"),C24,INDEX(INDIRECT("HNSW_Summary!A:Z"),0,MATCH("Interest",INDIRECT("HNSW_Summary!1:1"),0)))</f>
        <v>0</v>
      </c>
      <c r="J24" s="63">
        <f ca="1">SUMIF(INDIRECT("HNSW_Summary!A:A"),C24,INDEX(INDIRECT("HNSW_Summary!A:Z"),0,MATCH("ClBalance",INDIRECT("HNSW_Summary!1:1"),0)))</f>
        <v>0</v>
      </c>
      <c r="K24" s="35"/>
      <c r="L24" s="63">
        <f ca="1">SUMIF(INDIRECT("HNSW_Summary!A:A"),C24,INDEX(INDIRECT("HNSW_Summary!A:Z"),0,MATCH("MinRepayments",INDIRECT("HNSW_Summary!1:1"),0)))</f>
        <v>0</v>
      </c>
      <c r="M24" s="63">
        <f ca="1">SUMIF(INDIRECT("HNSW_Summary!A:A"),C24,INDEX(INDIRECT("HNSW_Summary!A:Z"),0,MATCH("UnderOver",INDIRECT("HNSW_Summary!1:1"),0)))</f>
        <v>0</v>
      </c>
      <c r="N24" s="32"/>
      <c r="P24" s="31"/>
      <c r="Q24" s="30"/>
      <c r="V24" s="23" t="b">
        <f>IF(D03_Number_of_Loans&gt;=8,FALSE,TRUE)</f>
        <v>1</v>
      </c>
    </row>
    <row r="25" spans="2:22" ht="17.25" hidden="1" customHeight="1">
      <c r="B25" s="36"/>
      <c r="C25" s="66"/>
      <c r="D25" s="65" t="e">
        <f ca="1">IF(C25=E25, HYPERLINK("#'" &amp; VLOOKUP(C25,INDIRECT("HNSW_Summary!$A:$B"),2,0) &amp; "'!A1", "}"), "}")</f>
        <v>#N/A</v>
      </c>
      <c r="E25" s="64" t="e">
        <f ca="1">VLOOKUP(C25,INDIRECT("HNSW_Summary!$A:$B"),1,0)</f>
        <v>#N/A</v>
      </c>
      <c r="F25" s="63" t="str">
        <f ca="1">IFERROR(INDEX(INDIRECT("HNSW_Summary!A:Z"),MATCH(C25,INDIRECT("HNSW_Summary!A:A"), 0),MATCH("Director",INDIRECT("HNSW_Summary!1:1"),0)),"")</f>
        <v/>
      </c>
      <c r="G25" s="63">
        <f ca="1">SUMIF(INDIRECT("HNSW_Summary!A:A"),C25,INDEX(INDIRECT("HNSW_Summary!A:Z"),0,MATCH("OpBalance",INDIRECT("HNSW_Summary!1:1"),0)))</f>
        <v>0</v>
      </c>
      <c r="H25" s="63">
        <f ca="1">SUMIF(INDIRECT("HNSW_Summary!A:A"),C25,INDEX(INDIRECT("HNSW_Summary!A:Z"),0,MATCH("Repayments",INDIRECT("HNSW_Summary!1:1"),0)))</f>
        <v>0</v>
      </c>
      <c r="I25" s="63">
        <f ca="1">SUMIF(INDIRECT("HNSW_Summary!A:A"),C25,INDEX(INDIRECT("HNSW_Summary!A:Z"),0,MATCH("Interest",INDIRECT("HNSW_Summary!1:1"),0)))</f>
        <v>0</v>
      </c>
      <c r="J25" s="63">
        <f ca="1">SUMIF(INDIRECT("HNSW_Summary!A:A"),C25,INDEX(INDIRECT("HNSW_Summary!A:Z"),0,MATCH("ClBalance",INDIRECT("HNSW_Summary!1:1"),0)))</f>
        <v>0</v>
      </c>
      <c r="K25" s="35"/>
      <c r="L25" s="63">
        <f ca="1">SUMIF(INDIRECT("HNSW_Summary!A:A"),C25,INDEX(INDIRECT("HNSW_Summary!A:Z"),0,MATCH("MinRepayments",INDIRECT("HNSW_Summary!1:1"),0)))</f>
        <v>0</v>
      </c>
      <c r="M25" s="63">
        <f ca="1">SUMIF(INDIRECT("HNSW_Summary!A:A"),C25,INDEX(INDIRECT("HNSW_Summary!A:Z"),0,MATCH("UnderOver",INDIRECT("HNSW_Summary!1:1"),0)))</f>
        <v>0</v>
      </c>
      <c r="N25" s="32"/>
      <c r="P25" s="31"/>
      <c r="Q25" s="30"/>
      <c r="V25" s="23" t="b">
        <f>IF(D03_Number_of_Loans&gt;=9,FALSE,TRUE)</f>
        <v>1</v>
      </c>
    </row>
    <row r="26" spans="2:22" ht="17.25" hidden="1" customHeight="1">
      <c r="B26" s="36"/>
      <c r="C26" s="66"/>
      <c r="D26" s="65" t="e">
        <f ca="1">IF(C26=E26, HYPERLINK("#'" &amp; VLOOKUP(C26,INDIRECT("HNSW_Summary!$A:$B"),2,0) &amp; "'!A1", "}"), "}")</f>
        <v>#N/A</v>
      </c>
      <c r="E26" s="64" t="e">
        <f ca="1">VLOOKUP(C26,INDIRECT("HNSW_Summary!$A:$B"),1,0)</f>
        <v>#N/A</v>
      </c>
      <c r="F26" s="63" t="str">
        <f ca="1">IFERROR(INDEX(INDIRECT("HNSW_Summary!A:Z"),MATCH(C26,INDIRECT("HNSW_Summary!A:A"), 0),MATCH("Director",INDIRECT("HNSW_Summary!1:1"),0)),"")</f>
        <v/>
      </c>
      <c r="G26" s="63">
        <f ca="1">SUMIF(INDIRECT("HNSW_Summary!A:A"),C26,INDEX(INDIRECT("HNSW_Summary!A:Z"),0,MATCH("OpBalance",INDIRECT("HNSW_Summary!1:1"),0)))</f>
        <v>0</v>
      </c>
      <c r="H26" s="63">
        <f ca="1">SUMIF(INDIRECT("HNSW_Summary!A:A"),C26,INDEX(INDIRECT("HNSW_Summary!A:Z"),0,MATCH("Repayments",INDIRECT("HNSW_Summary!1:1"),0)))</f>
        <v>0</v>
      </c>
      <c r="I26" s="63">
        <f ca="1">SUMIF(INDIRECT("HNSW_Summary!A:A"),C26,INDEX(INDIRECT("HNSW_Summary!A:Z"),0,MATCH("Interest",INDIRECT("HNSW_Summary!1:1"),0)))</f>
        <v>0</v>
      </c>
      <c r="J26" s="63">
        <f ca="1">SUMIF(INDIRECT("HNSW_Summary!A:A"),C26,INDEX(INDIRECT("HNSW_Summary!A:Z"),0,MATCH("ClBalance",INDIRECT("HNSW_Summary!1:1"),0)))</f>
        <v>0</v>
      </c>
      <c r="K26" s="35"/>
      <c r="L26" s="63">
        <f ca="1">SUMIF(INDIRECT("HNSW_Summary!A:A"),C26,INDEX(INDIRECT("HNSW_Summary!A:Z"),0,MATCH("MinRepayments",INDIRECT("HNSW_Summary!1:1"),0)))</f>
        <v>0</v>
      </c>
      <c r="M26" s="63">
        <f ca="1">SUMIF(INDIRECT("HNSW_Summary!A:A"),C26,INDEX(INDIRECT("HNSW_Summary!A:Z"),0,MATCH("UnderOver",INDIRECT("HNSW_Summary!1:1"),0)))</f>
        <v>0</v>
      </c>
      <c r="N26" s="32"/>
      <c r="P26" s="31"/>
      <c r="Q26" s="30"/>
      <c r="V26" s="23" t="b">
        <f>IF(D03_Number_of_Loans&gt;=10,FALSE,TRUE)</f>
        <v>1</v>
      </c>
    </row>
    <row r="27" spans="2:22" ht="17.25" hidden="1" customHeight="1">
      <c r="B27" s="36"/>
      <c r="C27" s="66"/>
      <c r="D27" s="65" t="e">
        <f ca="1">IF(C27=E27, HYPERLINK("#'" &amp; VLOOKUP(C27,INDIRECT("HNSW_Summary!$A:$B"),2,0) &amp; "'!A1", "}"), "}")</f>
        <v>#N/A</v>
      </c>
      <c r="E27" s="64" t="e">
        <f ca="1">VLOOKUP(C27,INDIRECT("HNSW_Summary!$A:$B"),1,0)</f>
        <v>#N/A</v>
      </c>
      <c r="F27" s="63" t="str">
        <f ca="1">IFERROR(INDEX(INDIRECT("HNSW_Summary!A:Z"),MATCH(C27,INDIRECT("HNSW_Summary!A:A"), 0),MATCH("Director",INDIRECT("HNSW_Summary!1:1"),0)),"")</f>
        <v/>
      </c>
      <c r="G27" s="63">
        <f ca="1">SUMIF(INDIRECT("HNSW_Summary!A:A"),C27,INDEX(INDIRECT("HNSW_Summary!A:Z"),0,MATCH("OpBalance",INDIRECT("HNSW_Summary!1:1"),0)))</f>
        <v>0</v>
      </c>
      <c r="H27" s="63">
        <f ca="1">SUMIF(INDIRECT("HNSW_Summary!A:A"),C27,INDEX(INDIRECT("HNSW_Summary!A:Z"),0,MATCH("Repayments",INDIRECT("HNSW_Summary!1:1"),0)))</f>
        <v>0</v>
      </c>
      <c r="I27" s="63">
        <f ca="1">SUMIF(INDIRECT("HNSW_Summary!A:A"),C27,INDEX(INDIRECT("HNSW_Summary!A:Z"),0,MATCH("Interest",INDIRECT("HNSW_Summary!1:1"),0)))</f>
        <v>0</v>
      </c>
      <c r="J27" s="63">
        <f ca="1">SUMIF(INDIRECT("HNSW_Summary!A:A"),C27,INDEX(INDIRECT("HNSW_Summary!A:Z"),0,MATCH("ClBalance",INDIRECT("HNSW_Summary!1:1"),0)))</f>
        <v>0</v>
      </c>
      <c r="K27" s="35"/>
      <c r="L27" s="63">
        <f ca="1">SUMIF(INDIRECT("HNSW_Summary!A:A"),C27,INDEX(INDIRECT("HNSW_Summary!A:Z"),0,MATCH("MinRepayments",INDIRECT("HNSW_Summary!1:1"),0)))</f>
        <v>0</v>
      </c>
      <c r="M27" s="63">
        <f ca="1">SUMIF(INDIRECT("HNSW_Summary!A:A"),C27,INDEX(INDIRECT("HNSW_Summary!A:Z"),0,MATCH("UnderOver",INDIRECT("HNSW_Summary!1:1"),0)))</f>
        <v>0</v>
      </c>
      <c r="N27" s="32"/>
      <c r="P27" s="31"/>
      <c r="Q27" s="30"/>
      <c r="V27" s="23" t="b">
        <f>IF(D03_Number_of_Loans&gt;=11,FALSE,TRUE)</f>
        <v>1</v>
      </c>
    </row>
    <row r="28" spans="2:22" ht="17.25" hidden="1" customHeight="1">
      <c r="B28" s="36"/>
      <c r="C28" s="66"/>
      <c r="D28" s="65" t="e">
        <f ca="1">IF(C28=E28, HYPERLINK("#'" &amp; VLOOKUP(C28,INDIRECT("HNSW_Summary!$A:$B"),2,0) &amp; "'!A1", "}"), "}")</f>
        <v>#N/A</v>
      </c>
      <c r="E28" s="64" t="e">
        <f ca="1">VLOOKUP(C28,INDIRECT("HNSW_Summary!$A:$B"),1,0)</f>
        <v>#N/A</v>
      </c>
      <c r="F28" s="63" t="str">
        <f ca="1">IFERROR(INDEX(INDIRECT("HNSW_Summary!A:Z"),MATCH(C28,INDIRECT("HNSW_Summary!A:A"), 0),MATCH("Director",INDIRECT("HNSW_Summary!1:1"),0)),"")</f>
        <v/>
      </c>
      <c r="G28" s="63">
        <f ca="1">SUMIF(INDIRECT("HNSW_Summary!A:A"),C28,INDEX(INDIRECT("HNSW_Summary!A:Z"),0,MATCH("OpBalance",INDIRECT("HNSW_Summary!1:1"),0)))</f>
        <v>0</v>
      </c>
      <c r="H28" s="63">
        <f ca="1">SUMIF(INDIRECT("HNSW_Summary!A:A"),C28,INDEX(INDIRECT("HNSW_Summary!A:Z"),0,MATCH("Repayments",INDIRECT("HNSW_Summary!1:1"),0)))</f>
        <v>0</v>
      </c>
      <c r="I28" s="63">
        <f ca="1">SUMIF(INDIRECT("HNSW_Summary!A:A"),C28,INDEX(INDIRECT("HNSW_Summary!A:Z"),0,MATCH("Interest",INDIRECT("HNSW_Summary!1:1"),0)))</f>
        <v>0</v>
      </c>
      <c r="J28" s="63">
        <f ca="1">SUMIF(INDIRECT("HNSW_Summary!A:A"),C28,INDEX(INDIRECT("HNSW_Summary!A:Z"),0,MATCH("ClBalance",INDIRECT("HNSW_Summary!1:1"),0)))</f>
        <v>0</v>
      </c>
      <c r="K28" s="35"/>
      <c r="L28" s="63">
        <f ca="1">SUMIF(INDIRECT("HNSW_Summary!A:A"),C28,INDEX(INDIRECT("HNSW_Summary!A:Z"),0,MATCH("MinRepayments",INDIRECT("HNSW_Summary!1:1"),0)))</f>
        <v>0</v>
      </c>
      <c r="M28" s="63">
        <f ca="1">SUMIF(INDIRECT("HNSW_Summary!A:A"),C28,INDEX(INDIRECT("HNSW_Summary!A:Z"),0,MATCH("UnderOver",INDIRECT("HNSW_Summary!1:1"),0)))</f>
        <v>0</v>
      </c>
      <c r="N28" s="32"/>
      <c r="P28" s="31"/>
      <c r="Q28" s="30"/>
      <c r="V28" s="23" t="b">
        <f>IF(D03_Number_of_Loans&gt;=12,FALSE,TRUE)</f>
        <v>1</v>
      </c>
    </row>
    <row r="29" spans="2:22" ht="17.25" hidden="1" customHeight="1">
      <c r="B29" s="36"/>
      <c r="C29" s="66"/>
      <c r="D29" s="65" t="e">
        <f ca="1">IF(C29=E29, HYPERLINK("#'" &amp; VLOOKUP(C29,INDIRECT("HNSW_Summary!$A:$B"),2,0) &amp; "'!A1", "}"), "}")</f>
        <v>#N/A</v>
      </c>
      <c r="E29" s="64" t="e">
        <f ca="1">VLOOKUP(C29,INDIRECT("HNSW_Summary!$A:$B"),1,0)</f>
        <v>#N/A</v>
      </c>
      <c r="F29" s="63" t="str">
        <f ca="1">IFERROR(INDEX(INDIRECT("HNSW_Summary!A:Z"),MATCH(C29,INDIRECT("HNSW_Summary!A:A"), 0),MATCH("Director",INDIRECT("HNSW_Summary!1:1"),0)),"")</f>
        <v/>
      </c>
      <c r="G29" s="63">
        <f ca="1">SUMIF(INDIRECT("HNSW_Summary!A:A"),C29,INDEX(INDIRECT("HNSW_Summary!A:Z"),0,MATCH("OpBalance",INDIRECT("HNSW_Summary!1:1"),0)))</f>
        <v>0</v>
      </c>
      <c r="H29" s="63">
        <f ca="1">SUMIF(INDIRECT("HNSW_Summary!A:A"),C29,INDEX(INDIRECT("HNSW_Summary!A:Z"),0,MATCH("Repayments",INDIRECT("HNSW_Summary!1:1"),0)))</f>
        <v>0</v>
      </c>
      <c r="I29" s="63">
        <f ca="1">SUMIF(INDIRECT("HNSW_Summary!A:A"),C29,INDEX(INDIRECT("HNSW_Summary!A:Z"),0,MATCH("Interest",INDIRECT("HNSW_Summary!1:1"),0)))</f>
        <v>0</v>
      </c>
      <c r="J29" s="63">
        <f ca="1">SUMIF(INDIRECT("HNSW_Summary!A:A"),C29,INDEX(INDIRECT("HNSW_Summary!A:Z"),0,MATCH("ClBalance",INDIRECT("HNSW_Summary!1:1"),0)))</f>
        <v>0</v>
      </c>
      <c r="K29" s="35"/>
      <c r="L29" s="63">
        <f ca="1">SUMIF(INDIRECT("HNSW_Summary!A:A"),C29,INDEX(INDIRECT("HNSW_Summary!A:Z"),0,MATCH("MinRepayments",INDIRECT("HNSW_Summary!1:1"),0)))</f>
        <v>0</v>
      </c>
      <c r="M29" s="63">
        <f ca="1">SUMIF(INDIRECT("HNSW_Summary!A:A"),C29,INDEX(INDIRECT("HNSW_Summary!A:Z"),0,MATCH("UnderOver",INDIRECT("HNSW_Summary!1:1"),0)))</f>
        <v>0</v>
      </c>
      <c r="N29" s="32"/>
      <c r="P29" s="31"/>
      <c r="Q29" s="30"/>
      <c r="V29" s="23" t="b">
        <f>IF(D03_Number_of_Loans&gt;=13,FALSE,TRUE)</f>
        <v>1</v>
      </c>
    </row>
    <row r="30" spans="2:22" ht="17.25" hidden="1" customHeight="1">
      <c r="B30" s="36"/>
      <c r="C30" s="66"/>
      <c r="D30" s="65" t="e">
        <f ca="1">IF(C30=E30, HYPERLINK("#'" &amp; VLOOKUP(C30,INDIRECT("HNSW_Summary!$A:$B"),2,0) &amp; "'!A1", "}"), "}")</f>
        <v>#N/A</v>
      </c>
      <c r="E30" s="64" t="e">
        <f ca="1">VLOOKUP(C30,INDIRECT("HNSW_Summary!$A:$B"),1,0)</f>
        <v>#N/A</v>
      </c>
      <c r="F30" s="63" t="str">
        <f ca="1">IFERROR(INDEX(INDIRECT("HNSW_Summary!A:Z"),MATCH(C30,INDIRECT("HNSW_Summary!A:A"), 0),MATCH("Director",INDIRECT("HNSW_Summary!1:1"),0)),"")</f>
        <v/>
      </c>
      <c r="G30" s="63">
        <f ca="1">SUMIF(INDIRECT("HNSW_Summary!A:A"),C30,INDEX(INDIRECT("HNSW_Summary!A:Z"),0,MATCH("OpBalance",INDIRECT("HNSW_Summary!1:1"),0)))</f>
        <v>0</v>
      </c>
      <c r="H30" s="63">
        <f ca="1">SUMIF(INDIRECT("HNSW_Summary!A:A"),C30,INDEX(INDIRECT("HNSW_Summary!A:Z"),0,MATCH("Repayments",INDIRECT("HNSW_Summary!1:1"),0)))</f>
        <v>0</v>
      </c>
      <c r="I30" s="63">
        <f ca="1">SUMIF(INDIRECT("HNSW_Summary!A:A"),C30,INDEX(INDIRECT("HNSW_Summary!A:Z"),0,MATCH("Interest",INDIRECT("HNSW_Summary!1:1"),0)))</f>
        <v>0</v>
      </c>
      <c r="J30" s="63">
        <f ca="1">SUMIF(INDIRECT("HNSW_Summary!A:A"),C30,INDEX(INDIRECT("HNSW_Summary!A:Z"),0,MATCH("ClBalance",INDIRECT("HNSW_Summary!1:1"),0)))</f>
        <v>0</v>
      </c>
      <c r="K30" s="35"/>
      <c r="L30" s="63">
        <f ca="1">SUMIF(INDIRECT("HNSW_Summary!A:A"),C30,INDEX(INDIRECT("HNSW_Summary!A:Z"),0,MATCH("MinRepayments",INDIRECT("HNSW_Summary!1:1"),0)))</f>
        <v>0</v>
      </c>
      <c r="M30" s="63">
        <f ca="1">SUMIF(INDIRECT("HNSW_Summary!A:A"),C30,INDEX(INDIRECT("HNSW_Summary!A:Z"),0,MATCH("UnderOver",INDIRECT("HNSW_Summary!1:1"),0)))</f>
        <v>0</v>
      </c>
      <c r="N30" s="32"/>
      <c r="P30" s="31"/>
      <c r="Q30" s="30"/>
      <c r="V30" s="23" t="b">
        <f>IF(D03_Number_of_Loans&gt;=14,FALSE,TRUE)</f>
        <v>1</v>
      </c>
    </row>
    <row r="31" spans="2:22" ht="17.25" hidden="1" customHeight="1">
      <c r="B31" s="36"/>
      <c r="C31" s="66"/>
      <c r="D31" s="65" t="e">
        <f ca="1">IF(C31=E31, HYPERLINK("#'" &amp; VLOOKUP(C31,INDIRECT("HNSW_Summary!$A:$B"),2,0) &amp; "'!A1", "}"), "}")</f>
        <v>#N/A</v>
      </c>
      <c r="E31" s="64" t="e">
        <f ca="1">VLOOKUP(C31,INDIRECT("HNSW_Summary!$A:$B"),1,0)</f>
        <v>#N/A</v>
      </c>
      <c r="F31" s="63" t="str">
        <f ca="1">IFERROR(INDEX(INDIRECT("HNSW_Summary!A:Z"),MATCH(C31,INDIRECT("HNSW_Summary!A:A"), 0),MATCH("Director",INDIRECT("HNSW_Summary!1:1"),0)),"")</f>
        <v/>
      </c>
      <c r="G31" s="63">
        <f ca="1">SUMIF(INDIRECT("HNSW_Summary!A:A"),C31,INDEX(INDIRECT("HNSW_Summary!A:Z"),0,MATCH("OpBalance",INDIRECT("HNSW_Summary!1:1"),0)))</f>
        <v>0</v>
      </c>
      <c r="H31" s="63">
        <f ca="1">SUMIF(INDIRECT("HNSW_Summary!A:A"),C31,INDEX(INDIRECT("HNSW_Summary!A:Z"),0,MATCH("Repayments",INDIRECT("HNSW_Summary!1:1"),0)))</f>
        <v>0</v>
      </c>
      <c r="I31" s="63">
        <f ca="1">SUMIF(INDIRECT("HNSW_Summary!A:A"),C31,INDEX(INDIRECT("HNSW_Summary!A:Z"),0,MATCH("Interest",INDIRECT("HNSW_Summary!1:1"),0)))</f>
        <v>0</v>
      </c>
      <c r="J31" s="63">
        <f ca="1">SUMIF(INDIRECT("HNSW_Summary!A:A"),C31,INDEX(INDIRECT("HNSW_Summary!A:Z"),0,MATCH("ClBalance",INDIRECT("HNSW_Summary!1:1"),0)))</f>
        <v>0</v>
      </c>
      <c r="K31" s="35"/>
      <c r="L31" s="63">
        <f ca="1">SUMIF(INDIRECT("HNSW_Summary!A:A"),C31,INDEX(INDIRECT("HNSW_Summary!A:Z"),0,MATCH("MinRepayments",INDIRECT("HNSW_Summary!1:1"),0)))</f>
        <v>0</v>
      </c>
      <c r="M31" s="63">
        <f ca="1">SUMIF(INDIRECT("HNSW_Summary!A:A"),C31,INDEX(INDIRECT("HNSW_Summary!A:Z"),0,MATCH("UnderOver",INDIRECT("HNSW_Summary!1:1"),0)))</f>
        <v>0</v>
      </c>
      <c r="N31" s="32"/>
      <c r="P31" s="31"/>
      <c r="Q31" s="30"/>
      <c r="V31" s="23" t="b">
        <f>IF(D03_Number_of_Loans&gt;=15,FALSE,TRUE)</f>
        <v>1</v>
      </c>
    </row>
    <row r="32" spans="2:22" ht="17.25" hidden="1" customHeight="1">
      <c r="B32" s="36"/>
      <c r="C32" s="66"/>
      <c r="D32" s="65" t="e">
        <f ca="1">IF(C32=E32, HYPERLINK("#'" &amp; VLOOKUP(C32,INDIRECT("HNSW_Summary!$A:$B"),2,0) &amp; "'!A1", "}"), "}")</f>
        <v>#N/A</v>
      </c>
      <c r="E32" s="64" t="e">
        <f ca="1">VLOOKUP(C32,INDIRECT("HNSW_Summary!$A:$B"),1,0)</f>
        <v>#N/A</v>
      </c>
      <c r="F32" s="63" t="str">
        <f ca="1">IFERROR(INDEX(INDIRECT("HNSW_Summary!A:Z"),MATCH(C32,INDIRECT("HNSW_Summary!A:A"), 0),MATCH("Director",INDIRECT("HNSW_Summary!1:1"),0)),"")</f>
        <v/>
      </c>
      <c r="G32" s="63">
        <f ca="1">SUMIF(INDIRECT("HNSW_Summary!A:A"),C32,INDEX(INDIRECT("HNSW_Summary!A:Z"),0,MATCH("OpBalance",INDIRECT("HNSW_Summary!1:1"),0)))</f>
        <v>0</v>
      </c>
      <c r="H32" s="63">
        <f ca="1">SUMIF(INDIRECT("HNSW_Summary!A:A"),C32,INDEX(INDIRECT("HNSW_Summary!A:Z"),0,MATCH("Repayments",INDIRECT("HNSW_Summary!1:1"),0)))</f>
        <v>0</v>
      </c>
      <c r="I32" s="63">
        <f ca="1">SUMIF(INDIRECT("HNSW_Summary!A:A"),C32,INDEX(INDIRECT("HNSW_Summary!A:Z"),0,MATCH("Interest",INDIRECT("HNSW_Summary!1:1"),0)))</f>
        <v>0</v>
      </c>
      <c r="J32" s="63">
        <f ca="1">SUMIF(INDIRECT("HNSW_Summary!A:A"),C32,INDEX(INDIRECT("HNSW_Summary!A:Z"),0,MATCH("ClBalance",INDIRECT("HNSW_Summary!1:1"),0)))</f>
        <v>0</v>
      </c>
      <c r="K32" s="35"/>
      <c r="L32" s="63">
        <f ca="1">SUMIF(INDIRECT("HNSW_Summary!A:A"),C32,INDEX(INDIRECT("HNSW_Summary!A:Z"),0,MATCH("MinRepayments",INDIRECT("HNSW_Summary!1:1"),0)))</f>
        <v>0</v>
      </c>
      <c r="M32" s="63">
        <f ca="1">SUMIF(INDIRECT("HNSW_Summary!A:A"),C32,INDEX(INDIRECT("HNSW_Summary!A:Z"),0,MATCH("UnderOver",INDIRECT("HNSW_Summary!1:1"),0)))</f>
        <v>0</v>
      </c>
      <c r="N32" s="32"/>
      <c r="P32" s="31"/>
      <c r="Q32" s="30"/>
      <c r="V32" s="23" t="b">
        <f>IF(D03_Number_of_Loans&gt;=16,FALSE,TRUE)</f>
        <v>1</v>
      </c>
    </row>
    <row r="33" spans="2:22" ht="17.25" hidden="1" customHeight="1">
      <c r="B33" s="36"/>
      <c r="C33" s="66"/>
      <c r="D33" s="65" t="e">
        <f ca="1">IF(C33=E33, HYPERLINK("#'" &amp; VLOOKUP(C33,INDIRECT("HNSW_Summary!$A:$B"),2,0) &amp; "'!A1", "}"), "}")</f>
        <v>#N/A</v>
      </c>
      <c r="E33" s="64" t="e">
        <f ca="1">VLOOKUP(C33,INDIRECT("HNSW_Summary!$A:$B"),1,0)</f>
        <v>#N/A</v>
      </c>
      <c r="F33" s="63" t="str">
        <f ca="1">IFERROR(INDEX(INDIRECT("HNSW_Summary!A:Z"),MATCH(C33,INDIRECT("HNSW_Summary!A:A"), 0),MATCH("Director",INDIRECT("HNSW_Summary!1:1"),0)),"")</f>
        <v/>
      </c>
      <c r="G33" s="63">
        <f ca="1">SUMIF(INDIRECT("HNSW_Summary!A:A"),C33,INDEX(INDIRECT("HNSW_Summary!A:Z"),0,MATCH("OpBalance",INDIRECT("HNSW_Summary!1:1"),0)))</f>
        <v>0</v>
      </c>
      <c r="H33" s="63">
        <f ca="1">SUMIF(INDIRECT("HNSW_Summary!A:A"),C33,INDEX(INDIRECT("HNSW_Summary!A:Z"),0,MATCH("Repayments",INDIRECT("HNSW_Summary!1:1"),0)))</f>
        <v>0</v>
      </c>
      <c r="I33" s="63">
        <f ca="1">SUMIF(INDIRECT("HNSW_Summary!A:A"),C33,INDEX(INDIRECT("HNSW_Summary!A:Z"),0,MATCH("Interest",INDIRECT("HNSW_Summary!1:1"),0)))</f>
        <v>0</v>
      </c>
      <c r="J33" s="63">
        <f ca="1">SUMIF(INDIRECT("HNSW_Summary!A:A"),C33,INDEX(INDIRECT("HNSW_Summary!A:Z"),0,MATCH("ClBalance",INDIRECT("HNSW_Summary!1:1"),0)))</f>
        <v>0</v>
      </c>
      <c r="K33" s="35"/>
      <c r="L33" s="63">
        <f ca="1">SUMIF(INDIRECT("HNSW_Summary!A:A"),C33,INDEX(INDIRECT("HNSW_Summary!A:Z"),0,MATCH("MinRepayments",INDIRECT("HNSW_Summary!1:1"),0)))</f>
        <v>0</v>
      </c>
      <c r="M33" s="63">
        <f ca="1">SUMIF(INDIRECT("HNSW_Summary!A:A"),C33,INDEX(INDIRECT("HNSW_Summary!A:Z"),0,MATCH("UnderOver",INDIRECT("HNSW_Summary!1:1"),0)))</f>
        <v>0</v>
      </c>
      <c r="N33" s="32"/>
      <c r="P33" s="31"/>
      <c r="Q33" s="30"/>
      <c r="V33" s="23" t="b">
        <f>IF(D03_Number_of_Loans&gt;=17,FALSE,TRUE)</f>
        <v>1</v>
      </c>
    </row>
    <row r="34" spans="2:22" ht="17.25" hidden="1" customHeight="1">
      <c r="B34" s="36"/>
      <c r="C34" s="66"/>
      <c r="D34" s="65" t="e">
        <f ca="1">IF(C34=E34, HYPERLINK("#'" &amp; VLOOKUP(C34,INDIRECT("HNSW_Summary!$A:$B"),2,0) &amp; "'!A1", "}"), "}")</f>
        <v>#N/A</v>
      </c>
      <c r="E34" s="64" t="e">
        <f ca="1">VLOOKUP(C34,INDIRECT("HNSW_Summary!$A:$B"),1,0)</f>
        <v>#N/A</v>
      </c>
      <c r="F34" s="63" t="str">
        <f ca="1">IFERROR(INDEX(INDIRECT("HNSW_Summary!A:Z"),MATCH(C34,INDIRECT("HNSW_Summary!A:A"), 0),MATCH("Director",INDIRECT("HNSW_Summary!1:1"),0)),"")</f>
        <v/>
      </c>
      <c r="G34" s="63">
        <f ca="1">SUMIF(INDIRECT("HNSW_Summary!A:A"),C34,INDEX(INDIRECT("HNSW_Summary!A:Z"),0,MATCH("OpBalance",INDIRECT("HNSW_Summary!1:1"),0)))</f>
        <v>0</v>
      </c>
      <c r="H34" s="63">
        <f ca="1">SUMIF(INDIRECT("HNSW_Summary!A:A"),C34,INDEX(INDIRECT("HNSW_Summary!A:Z"),0,MATCH("Repayments",INDIRECT("HNSW_Summary!1:1"),0)))</f>
        <v>0</v>
      </c>
      <c r="I34" s="63">
        <f ca="1">SUMIF(INDIRECT("HNSW_Summary!A:A"),C34,INDEX(INDIRECT("HNSW_Summary!A:Z"),0,MATCH("Interest",INDIRECT("HNSW_Summary!1:1"),0)))</f>
        <v>0</v>
      </c>
      <c r="J34" s="63">
        <f ca="1">SUMIF(INDIRECT("HNSW_Summary!A:A"),C34,INDEX(INDIRECT("HNSW_Summary!A:Z"),0,MATCH("ClBalance",INDIRECT("HNSW_Summary!1:1"),0)))</f>
        <v>0</v>
      </c>
      <c r="K34" s="35"/>
      <c r="L34" s="63">
        <f ca="1">SUMIF(INDIRECT("HNSW_Summary!A:A"),C34,INDEX(INDIRECT("HNSW_Summary!A:Z"),0,MATCH("MinRepayments",INDIRECT("HNSW_Summary!1:1"),0)))</f>
        <v>0</v>
      </c>
      <c r="M34" s="63">
        <f ca="1">SUMIF(INDIRECT("HNSW_Summary!A:A"),C34,INDEX(INDIRECT("HNSW_Summary!A:Z"),0,MATCH("UnderOver",INDIRECT("HNSW_Summary!1:1"),0)))</f>
        <v>0</v>
      </c>
      <c r="N34" s="32"/>
      <c r="P34" s="31"/>
      <c r="Q34" s="30"/>
      <c r="V34" s="23" t="b">
        <f>IF(D03_Number_of_Loans&gt;=18,FALSE,TRUE)</f>
        <v>1</v>
      </c>
    </row>
    <row r="35" spans="2:22" ht="17.25" hidden="1" customHeight="1">
      <c r="B35" s="36"/>
      <c r="C35" s="66"/>
      <c r="D35" s="65" t="e">
        <f ca="1">IF(C35=E35, HYPERLINK("#'" &amp; VLOOKUP(C35,INDIRECT("HNSW_Summary!$A:$B"),2,0) &amp; "'!A1", "}"), "}")</f>
        <v>#N/A</v>
      </c>
      <c r="E35" s="64" t="e">
        <f ca="1">VLOOKUP(C35,INDIRECT("HNSW_Summary!$A:$B"),1,0)</f>
        <v>#N/A</v>
      </c>
      <c r="F35" s="63" t="str">
        <f ca="1">IFERROR(INDEX(INDIRECT("HNSW_Summary!A:Z"),MATCH(C35,INDIRECT("HNSW_Summary!A:A"), 0),MATCH("Director",INDIRECT("HNSW_Summary!1:1"),0)),"")</f>
        <v/>
      </c>
      <c r="G35" s="63">
        <f ca="1">SUMIF(INDIRECT("HNSW_Summary!A:A"),C35,INDEX(INDIRECT("HNSW_Summary!A:Z"),0,MATCH("OpBalance",INDIRECT("HNSW_Summary!1:1"),0)))</f>
        <v>0</v>
      </c>
      <c r="H35" s="63">
        <f ca="1">SUMIF(INDIRECT("HNSW_Summary!A:A"),C35,INDEX(INDIRECT("HNSW_Summary!A:Z"),0,MATCH("Repayments",INDIRECT("HNSW_Summary!1:1"),0)))</f>
        <v>0</v>
      </c>
      <c r="I35" s="63">
        <f ca="1">SUMIF(INDIRECT("HNSW_Summary!A:A"),C35,INDEX(INDIRECT("HNSW_Summary!A:Z"),0,MATCH("Interest",INDIRECT("HNSW_Summary!1:1"),0)))</f>
        <v>0</v>
      </c>
      <c r="J35" s="63">
        <f ca="1">SUMIF(INDIRECT("HNSW_Summary!A:A"),C35,INDEX(INDIRECT("HNSW_Summary!A:Z"),0,MATCH("ClBalance",INDIRECT("HNSW_Summary!1:1"),0)))</f>
        <v>0</v>
      </c>
      <c r="K35" s="35"/>
      <c r="L35" s="63">
        <f ca="1">SUMIF(INDIRECT("HNSW_Summary!A:A"),C35,INDEX(INDIRECT("HNSW_Summary!A:Z"),0,MATCH("MinRepayments",INDIRECT("HNSW_Summary!1:1"),0)))</f>
        <v>0</v>
      </c>
      <c r="M35" s="63">
        <f ca="1">SUMIF(INDIRECT("HNSW_Summary!A:A"),C35,INDEX(INDIRECT("HNSW_Summary!A:Z"),0,MATCH("UnderOver",INDIRECT("HNSW_Summary!1:1"),0)))</f>
        <v>0</v>
      </c>
      <c r="N35" s="32"/>
      <c r="P35" s="31"/>
      <c r="Q35" s="30"/>
      <c r="V35" s="23" t="b">
        <f>IF(D03_Number_of_Loans&gt;=19,FALSE,TRUE)</f>
        <v>1</v>
      </c>
    </row>
    <row r="36" spans="2:22" ht="17.25" hidden="1" customHeight="1">
      <c r="B36" s="36"/>
      <c r="C36" s="66"/>
      <c r="D36" s="65" t="e">
        <f ca="1">IF(C36=E36, HYPERLINK("#'" &amp; VLOOKUP(C36,INDIRECT("HNSW_Summary!$A:$B"),2,0) &amp; "'!A1", "}"), "}")</f>
        <v>#N/A</v>
      </c>
      <c r="E36" s="64" t="e">
        <f ca="1">VLOOKUP(C36,INDIRECT("HNSW_Summary!$A:$B"),1,0)</f>
        <v>#N/A</v>
      </c>
      <c r="F36" s="63" t="str">
        <f ca="1">IFERROR(INDEX(INDIRECT("HNSW_Summary!A:Z"),MATCH(C36,INDIRECT("HNSW_Summary!A:A"), 0),MATCH("Director",INDIRECT("HNSW_Summary!1:1"),0)),"")</f>
        <v/>
      </c>
      <c r="G36" s="63">
        <f ca="1">SUMIF(INDIRECT("HNSW_Summary!A:A"),C36,INDEX(INDIRECT("HNSW_Summary!A:Z"),0,MATCH("OpBalance",INDIRECT("HNSW_Summary!1:1"),0)))</f>
        <v>0</v>
      </c>
      <c r="H36" s="63">
        <f ca="1">SUMIF(INDIRECT("HNSW_Summary!A:A"),C36,INDEX(INDIRECT("HNSW_Summary!A:Z"),0,MATCH("Repayments",INDIRECT("HNSW_Summary!1:1"),0)))</f>
        <v>0</v>
      </c>
      <c r="I36" s="63">
        <f ca="1">SUMIF(INDIRECT("HNSW_Summary!A:A"),C36,INDEX(INDIRECT("HNSW_Summary!A:Z"),0,MATCH("Interest",INDIRECT("HNSW_Summary!1:1"),0)))</f>
        <v>0</v>
      </c>
      <c r="J36" s="63">
        <f ca="1">SUMIF(INDIRECT("HNSW_Summary!A:A"),C36,INDEX(INDIRECT("HNSW_Summary!A:Z"),0,MATCH("ClBalance",INDIRECT("HNSW_Summary!1:1"),0)))</f>
        <v>0</v>
      </c>
      <c r="K36" s="35"/>
      <c r="L36" s="63">
        <f ca="1">SUMIF(INDIRECT("HNSW_Summary!A:A"),C36,INDEX(INDIRECT("HNSW_Summary!A:Z"),0,MATCH("MinRepayments",INDIRECT("HNSW_Summary!1:1"),0)))</f>
        <v>0</v>
      </c>
      <c r="M36" s="63">
        <f ca="1">SUMIF(INDIRECT("HNSW_Summary!A:A"),C36,INDEX(INDIRECT("HNSW_Summary!A:Z"),0,MATCH("UnderOver",INDIRECT("HNSW_Summary!1:1"),0)))</f>
        <v>0</v>
      </c>
      <c r="N36" s="32"/>
      <c r="P36" s="31"/>
      <c r="Q36" s="30"/>
      <c r="V36" s="23" t="b">
        <f>IF(D03_Number_of_Loans&gt;=20,FALSE,TRUE)</f>
        <v>1</v>
      </c>
    </row>
    <row r="37" spans="2:22" ht="17.25" hidden="1" customHeight="1">
      <c r="B37" s="36"/>
      <c r="C37" s="66"/>
      <c r="D37" s="65" t="e">
        <f ca="1">IF(C37=E37, HYPERLINK("#'" &amp; VLOOKUP(C37,INDIRECT("HNSW_Summary!$A:$B"),2,0) &amp; "'!A1", "}"), "}")</f>
        <v>#N/A</v>
      </c>
      <c r="E37" s="64" t="e">
        <f ca="1">VLOOKUP(C37,INDIRECT("HNSW_Summary!$A:$B"),1,0)</f>
        <v>#N/A</v>
      </c>
      <c r="F37" s="63" t="str">
        <f ca="1">IFERROR(INDEX(INDIRECT("HNSW_Summary!A:Z"),MATCH(C37,INDIRECT("HNSW_Summary!A:A"), 0),MATCH("Director",INDIRECT("HNSW_Summary!1:1"),0)),"")</f>
        <v/>
      </c>
      <c r="G37" s="63">
        <f ca="1">SUMIF(INDIRECT("HNSW_Summary!A:A"),C37,INDEX(INDIRECT("HNSW_Summary!A:Z"),0,MATCH("OpBalance",INDIRECT("HNSW_Summary!1:1"),0)))</f>
        <v>0</v>
      </c>
      <c r="H37" s="63">
        <f ca="1">SUMIF(INDIRECT("HNSW_Summary!A:A"),C37,INDEX(INDIRECT("HNSW_Summary!A:Z"),0,MATCH("Repayments",INDIRECT("HNSW_Summary!1:1"),0)))</f>
        <v>0</v>
      </c>
      <c r="I37" s="63">
        <f ca="1">SUMIF(INDIRECT("HNSW_Summary!A:A"),C37,INDEX(INDIRECT("HNSW_Summary!A:Z"),0,MATCH("Interest",INDIRECT("HNSW_Summary!1:1"),0)))</f>
        <v>0</v>
      </c>
      <c r="J37" s="63">
        <f ca="1">SUMIF(INDIRECT("HNSW_Summary!A:A"),C37,INDEX(INDIRECT("HNSW_Summary!A:Z"),0,MATCH("ClBalance",INDIRECT("HNSW_Summary!1:1"),0)))</f>
        <v>0</v>
      </c>
      <c r="K37" s="35"/>
      <c r="L37" s="63">
        <f ca="1">SUMIF(INDIRECT("HNSW_Summary!A:A"),C37,INDEX(INDIRECT("HNSW_Summary!A:Z"),0,MATCH("MinRepayments",INDIRECT("HNSW_Summary!1:1"),0)))</f>
        <v>0</v>
      </c>
      <c r="M37" s="63">
        <f ca="1">SUMIF(INDIRECT("HNSW_Summary!A:A"),C37,INDEX(INDIRECT("HNSW_Summary!A:Z"),0,MATCH("UnderOver",INDIRECT("HNSW_Summary!1:1"),0)))</f>
        <v>0</v>
      </c>
      <c r="N37" s="32"/>
      <c r="P37" s="31"/>
      <c r="Q37" s="30"/>
      <c r="V37" s="23" t="b">
        <f>IF(D03_Number_of_Loans&gt;=21,FALSE,TRUE)</f>
        <v>1</v>
      </c>
    </row>
    <row r="38" spans="2:22" ht="17.25" hidden="1" customHeight="1">
      <c r="B38" s="36"/>
      <c r="C38" s="66"/>
      <c r="D38" s="65" t="e">
        <f ca="1">IF(C38=E38, HYPERLINK("#'" &amp; VLOOKUP(C38,INDIRECT("HNSW_Summary!$A:$B"),2,0) &amp; "'!A1", "}"), "}")</f>
        <v>#N/A</v>
      </c>
      <c r="E38" s="64" t="e">
        <f ca="1">VLOOKUP(C38,INDIRECT("HNSW_Summary!$A:$B"),1,0)</f>
        <v>#N/A</v>
      </c>
      <c r="F38" s="63" t="str">
        <f ca="1">IFERROR(INDEX(INDIRECT("HNSW_Summary!A:Z"),MATCH(C38,INDIRECT("HNSW_Summary!A:A"), 0),MATCH("Director",INDIRECT("HNSW_Summary!1:1"),0)),"")</f>
        <v/>
      </c>
      <c r="G38" s="63">
        <f ca="1">SUMIF(INDIRECT("HNSW_Summary!A:A"),C38,INDEX(INDIRECT("HNSW_Summary!A:Z"),0,MATCH("OpBalance",INDIRECT("HNSW_Summary!1:1"),0)))</f>
        <v>0</v>
      </c>
      <c r="H38" s="63">
        <f ca="1">SUMIF(INDIRECT("HNSW_Summary!A:A"),C38,INDEX(INDIRECT("HNSW_Summary!A:Z"),0,MATCH("Repayments",INDIRECT("HNSW_Summary!1:1"),0)))</f>
        <v>0</v>
      </c>
      <c r="I38" s="63">
        <f ca="1">SUMIF(INDIRECT("HNSW_Summary!A:A"),C38,INDEX(INDIRECT("HNSW_Summary!A:Z"),0,MATCH("Interest",INDIRECT("HNSW_Summary!1:1"),0)))</f>
        <v>0</v>
      </c>
      <c r="J38" s="63">
        <f ca="1">SUMIF(INDIRECT("HNSW_Summary!A:A"),C38,INDEX(INDIRECT("HNSW_Summary!A:Z"),0,MATCH("ClBalance",INDIRECT("HNSW_Summary!1:1"),0)))</f>
        <v>0</v>
      </c>
      <c r="K38" s="35"/>
      <c r="L38" s="63">
        <f ca="1">SUMIF(INDIRECT("HNSW_Summary!A:A"),C38,INDEX(INDIRECT("HNSW_Summary!A:Z"),0,MATCH("MinRepayments",INDIRECT("HNSW_Summary!1:1"),0)))</f>
        <v>0</v>
      </c>
      <c r="M38" s="63">
        <f ca="1">SUMIF(INDIRECT("HNSW_Summary!A:A"),C38,INDEX(INDIRECT("HNSW_Summary!A:Z"),0,MATCH("UnderOver",INDIRECT("HNSW_Summary!1:1"),0)))</f>
        <v>0</v>
      </c>
      <c r="N38" s="32"/>
      <c r="P38" s="31"/>
      <c r="Q38" s="30"/>
      <c r="V38" s="23" t="b">
        <f>IF(D03_Number_of_Loans&gt;=22,FALSE,TRUE)</f>
        <v>1</v>
      </c>
    </row>
    <row r="39" spans="2:22" ht="17.25" hidden="1" customHeight="1">
      <c r="B39" s="36"/>
      <c r="C39" s="66"/>
      <c r="D39" s="65" t="e">
        <f ca="1">IF(C39=E39, HYPERLINK("#'" &amp; VLOOKUP(C39,INDIRECT("HNSW_Summary!$A:$B"),2,0) &amp; "'!A1", "}"), "}")</f>
        <v>#N/A</v>
      </c>
      <c r="E39" s="64" t="e">
        <f ca="1">VLOOKUP(C39,INDIRECT("HNSW_Summary!$A:$B"),1,0)</f>
        <v>#N/A</v>
      </c>
      <c r="F39" s="63" t="str">
        <f ca="1">IFERROR(INDEX(INDIRECT("HNSW_Summary!A:Z"),MATCH(C39,INDIRECT("HNSW_Summary!A:A"), 0),MATCH("Director",INDIRECT("HNSW_Summary!1:1"),0)),"")</f>
        <v/>
      </c>
      <c r="G39" s="63">
        <f ca="1">SUMIF(INDIRECT("HNSW_Summary!A:A"),C39,INDEX(INDIRECT("HNSW_Summary!A:Z"),0,MATCH("OpBalance",INDIRECT("HNSW_Summary!1:1"),0)))</f>
        <v>0</v>
      </c>
      <c r="H39" s="63">
        <f ca="1">SUMIF(INDIRECT("HNSW_Summary!A:A"),C39,INDEX(INDIRECT("HNSW_Summary!A:Z"),0,MATCH("Repayments",INDIRECT("HNSW_Summary!1:1"),0)))</f>
        <v>0</v>
      </c>
      <c r="I39" s="63">
        <f ca="1">SUMIF(INDIRECT("HNSW_Summary!A:A"),C39,INDEX(INDIRECT("HNSW_Summary!A:Z"),0,MATCH("Interest",INDIRECT("HNSW_Summary!1:1"),0)))</f>
        <v>0</v>
      </c>
      <c r="J39" s="63">
        <f ca="1">SUMIF(INDIRECT("HNSW_Summary!A:A"),C39,INDEX(INDIRECT("HNSW_Summary!A:Z"),0,MATCH("ClBalance",INDIRECT("HNSW_Summary!1:1"),0)))</f>
        <v>0</v>
      </c>
      <c r="K39" s="35"/>
      <c r="L39" s="63">
        <f ca="1">SUMIF(INDIRECT("HNSW_Summary!A:A"),C39,INDEX(INDIRECT("HNSW_Summary!A:Z"),0,MATCH("MinRepayments",INDIRECT("HNSW_Summary!1:1"),0)))</f>
        <v>0</v>
      </c>
      <c r="M39" s="63">
        <f ca="1">SUMIF(INDIRECT("HNSW_Summary!A:A"),C39,INDEX(INDIRECT("HNSW_Summary!A:Z"),0,MATCH("UnderOver",INDIRECT("HNSW_Summary!1:1"),0)))</f>
        <v>0</v>
      </c>
      <c r="N39" s="32"/>
      <c r="P39" s="31"/>
      <c r="Q39" s="30"/>
      <c r="V39" s="23" t="b">
        <f>IF(D03_Number_of_Loans&gt;=23,FALSE,TRUE)</f>
        <v>1</v>
      </c>
    </row>
    <row r="40" spans="2:22" ht="17.25" hidden="1" customHeight="1">
      <c r="B40" s="36"/>
      <c r="C40" s="66"/>
      <c r="D40" s="65" t="e">
        <f ca="1">IF(C40=E40, HYPERLINK("#'" &amp; VLOOKUP(C40,INDIRECT("HNSW_Summary!$A:$B"),2,0) &amp; "'!A1", "}"), "}")</f>
        <v>#N/A</v>
      </c>
      <c r="E40" s="64" t="e">
        <f ca="1">VLOOKUP(C40,INDIRECT("HNSW_Summary!$A:$B"),1,0)</f>
        <v>#N/A</v>
      </c>
      <c r="F40" s="63" t="str">
        <f ca="1">IFERROR(INDEX(INDIRECT("HNSW_Summary!A:Z"),MATCH(C40,INDIRECT("HNSW_Summary!A:A"), 0),MATCH("Director",INDIRECT("HNSW_Summary!1:1"),0)),"")</f>
        <v/>
      </c>
      <c r="G40" s="63">
        <f ca="1">SUMIF(INDIRECT("HNSW_Summary!A:A"),C40,INDEX(INDIRECT("HNSW_Summary!A:Z"),0,MATCH("OpBalance",INDIRECT("HNSW_Summary!1:1"),0)))</f>
        <v>0</v>
      </c>
      <c r="H40" s="63">
        <f ca="1">SUMIF(INDIRECT("HNSW_Summary!A:A"),C40,INDEX(INDIRECT("HNSW_Summary!A:Z"),0,MATCH("Repayments",INDIRECT("HNSW_Summary!1:1"),0)))</f>
        <v>0</v>
      </c>
      <c r="I40" s="63">
        <f ca="1">SUMIF(INDIRECT("HNSW_Summary!A:A"),C40,INDEX(INDIRECT("HNSW_Summary!A:Z"),0,MATCH("Interest",INDIRECT("HNSW_Summary!1:1"),0)))</f>
        <v>0</v>
      </c>
      <c r="J40" s="63">
        <f ca="1">SUMIF(INDIRECT("HNSW_Summary!A:A"),C40,INDEX(INDIRECT("HNSW_Summary!A:Z"),0,MATCH("ClBalance",INDIRECT("HNSW_Summary!1:1"),0)))</f>
        <v>0</v>
      </c>
      <c r="K40" s="35"/>
      <c r="L40" s="63">
        <f ca="1">SUMIF(INDIRECT("HNSW_Summary!A:A"),C40,INDEX(INDIRECT("HNSW_Summary!A:Z"),0,MATCH("MinRepayments",INDIRECT("HNSW_Summary!1:1"),0)))</f>
        <v>0</v>
      </c>
      <c r="M40" s="63">
        <f ca="1">SUMIF(INDIRECT("HNSW_Summary!A:A"),C40,INDEX(INDIRECT("HNSW_Summary!A:Z"),0,MATCH("UnderOver",INDIRECT("HNSW_Summary!1:1"),0)))</f>
        <v>0</v>
      </c>
      <c r="N40" s="32"/>
      <c r="P40" s="31"/>
      <c r="Q40" s="30"/>
      <c r="V40" s="23" t="b">
        <f>IF(D03_Number_of_Loans&gt;=24,FALSE,TRUE)</f>
        <v>1</v>
      </c>
    </row>
    <row r="41" spans="2:22" ht="17.25" hidden="1" customHeight="1">
      <c r="B41" s="36"/>
      <c r="C41" s="66"/>
      <c r="D41" s="65" t="e">
        <f ca="1">IF(C41=E41, HYPERLINK("#'" &amp; VLOOKUP(C41,INDIRECT("HNSW_Summary!$A:$B"),2,0) &amp; "'!A1", "}"), "}")</f>
        <v>#N/A</v>
      </c>
      <c r="E41" s="64" t="e">
        <f ca="1">VLOOKUP(C41,INDIRECT("HNSW_Summary!$A:$B"),1,0)</f>
        <v>#N/A</v>
      </c>
      <c r="F41" s="63" t="str">
        <f ca="1">IFERROR(INDEX(INDIRECT("HNSW_Summary!A:Z"),MATCH(C41,INDIRECT("HNSW_Summary!A:A"), 0),MATCH("Director",INDIRECT("HNSW_Summary!1:1"),0)),"")</f>
        <v/>
      </c>
      <c r="G41" s="63">
        <f ca="1">SUMIF(INDIRECT("HNSW_Summary!A:A"),C41,INDEX(INDIRECT("HNSW_Summary!A:Z"),0,MATCH("OpBalance",INDIRECT("HNSW_Summary!1:1"),0)))</f>
        <v>0</v>
      </c>
      <c r="H41" s="63">
        <f ca="1">SUMIF(INDIRECT("HNSW_Summary!A:A"),C41,INDEX(INDIRECT("HNSW_Summary!A:Z"),0,MATCH("Repayments",INDIRECT("HNSW_Summary!1:1"),0)))</f>
        <v>0</v>
      </c>
      <c r="I41" s="63">
        <f ca="1">SUMIF(INDIRECT("HNSW_Summary!A:A"),C41,INDEX(INDIRECT("HNSW_Summary!A:Z"),0,MATCH("Interest",INDIRECT("HNSW_Summary!1:1"),0)))</f>
        <v>0</v>
      </c>
      <c r="J41" s="63">
        <f ca="1">SUMIF(INDIRECT("HNSW_Summary!A:A"),C41,INDEX(INDIRECT("HNSW_Summary!A:Z"),0,MATCH("ClBalance",INDIRECT("HNSW_Summary!1:1"),0)))</f>
        <v>0</v>
      </c>
      <c r="K41" s="35"/>
      <c r="L41" s="63">
        <f ca="1">SUMIF(INDIRECT("HNSW_Summary!A:A"),C41,INDEX(INDIRECT("HNSW_Summary!A:Z"),0,MATCH("MinRepayments",INDIRECT("HNSW_Summary!1:1"),0)))</f>
        <v>0</v>
      </c>
      <c r="M41" s="63">
        <f ca="1">SUMIF(INDIRECT("HNSW_Summary!A:A"),C41,INDEX(INDIRECT("HNSW_Summary!A:Z"),0,MATCH("UnderOver",INDIRECT("HNSW_Summary!1:1"),0)))</f>
        <v>0</v>
      </c>
      <c r="N41" s="32"/>
      <c r="P41" s="31"/>
      <c r="Q41" s="30"/>
      <c r="V41" s="23" t="b">
        <f>IF(D03_Number_of_Loans&gt;=25,FALSE,TRUE)</f>
        <v>1</v>
      </c>
    </row>
    <row r="42" spans="2:22" ht="17.25" hidden="1" customHeight="1">
      <c r="B42" s="36"/>
      <c r="C42" s="66"/>
      <c r="D42" s="65" t="e">
        <f ca="1">IF(C42=E42, HYPERLINK("#'" &amp; VLOOKUP(C42,INDIRECT("HNSW_Summary!$A:$B"),2,0) &amp; "'!A1", "}"), "}")</f>
        <v>#N/A</v>
      </c>
      <c r="E42" s="64" t="e">
        <f ca="1">VLOOKUP(C42,INDIRECT("HNSW_Summary!$A:$B"),1,0)</f>
        <v>#N/A</v>
      </c>
      <c r="F42" s="63" t="str">
        <f ca="1">IFERROR(INDEX(INDIRECT("HNSW_Summary!A:Z"),MATCH(C42,INDIRECT("HNSW_Summary!A:A"), 0),MATCH("Director",INDIRECT("HNSW_Summary!1:1"),0)),"")</f>
        <v/>
      </c>
      <c r="G42" s="63">
        <f ca="1">SUMIF(INDIRECT("HNSW_Summary!A:A"),C42,INDEX(INDIRECT("HNSW_Summary!A:Z"),0,MATCH("OpBalance",INDIRECT("HNSW_Summary!1:1"),0)))</f>
        <v>0</v>
      </c>
      <c r="H42" s="63">
        <f ca="1">SUMIF(INDIRECT("HNSW_Summary!A:A"),C42,INDEX(INDIRECT("HNSW_Summary!A:Z"),0,MATCH("Repayments",INDIRECT("HNSW_Summary!1:1"),0)))</f>
        <v>0</v>
      </c>
      <c r="I42" s="63">
        <f ca="1">SUMIF(INDIRECT("HNSW_Summary!A:A"),C42,INDEX(INDIRECT("HNSW_Summary!A:Z"),0,MATCH("Interest",INDIRECT("HNSW_Summary!1:1"),0)))</f>
        <v>0</v>
      </c>
      <c r="J42" s="63">
        <f ca="1">SUMIF(INDIRECT("HNSW_Summary!A:A"),C42,INDEX(INDIRECT("HNSW_Summary!A:Z"),0,MATCH("ClBalance",INDIRECT("HNSW_Summary!1:1"),0)))</f>
        <v>0</v>
      </c>
      <c r="K42" s="35"/>
      <c r="L42" s="63">
        <f ca="1">SUMIF(INDIRECT("HNSW_Summary!A:A"),C42,INDEX(INDIRECT("HNSW_Summary!A:Z"),0,MATCH("MinRepayments",INDIRECT("HNSW_Summary!1:1"),0)))</f>
        <v>0</v>
      </c>
      <c r="M42" s="63">
        <f ca="1">SUMIF(INDIRECT("HNSW_Summary!A:A"),C42,INDEX(INDIRECT("HNSW_Summary!A:Z"),0,MATCH("UnderOver",INDIRECT("HNSW_Summary!1:1"),0)))</f>
        <v>0</v>
      </c>
      <c r="N42" s="32"/>
      <c r="P42" s="31"/>
      <c r="Q42" s="30"/>
      <c r="V42" s="23" t="b">
        <f>IF(D03_Number_of_Loans&gt;=26,FALSE,TRUE)</f>
        <v>1</v>
      </c>
    </row>
    <row r="43" spans="2:22" ht="17.25" hidden="1" customHeight="1">
      <c r="B43" s="36"/>
      <c r="C43" s="66"/>
      <c r="D43" s="65" t="e">
        <f ca="1">IF(C43=E43, HYPERLINK("#'" &amp; VLOOKUP(C43,INDIRECT("HNSW_Summary!$A:$B"),2,0) &amp; "'!A1", "}"), "}")</f>
        <v>#N/A</v>
      </c>
      <c r="E43" s="64" t="e">
        <f ca="1">VLOOKUP(C43,INDIRECT("HNSW_Summary!$A:$B"),1,0)</f>
        <v>#N/A</v>
      </c>
      <c r="F43" s="63" t="str">
        <f ca="1">IFERROR(INDEX(INDIRECT("HNSW_Summary!A:Z"),MATCH(C43,INDIRECT("HNSW_Summary!A:A"), 0),MATCH("Director",INDIRECT("HNSW_Summary!1:1"),0)),"")</f>
        <v/>
      </c>
      <c r="G43" s="63">
        <f ca="1">SUMIF(INDIRECT("HNSW_Summary!A:A"),C43,INDEX(INDIRECT("HNSW_Summary!A:Z"),0,MATCH("OpBalance",INDIRECT("HNSW_Summary!1:1"),0)))</f>
        <v>0</v>
      </c>
      <c r="H43" s="63">
        <f ca="1">SUMIF(INDIRECT("HNSW_Summary!A:A"),C43,INDEX(INDIRECT("HNSW_Summary!A:Z"),0,MATCH("Repayments",INDIRECT("HNSW_Summary!1:1"),0)))</f>
        <v>0</v>
      </c>
      <c r="I43" s="63">
        <f ca="1">SUMIF(INDIRECT("HNSW_Summary!A:A"),C43,INDEX(INDIRECT("HNSW_Summary!A:Z"),0,MATCH("Interest",INDIRECT("HNSW_Summary!1:1"),0)))</f>
        <v>0</v>
      </c>
      <c r="J43" s="63">
        <f ca="1">SUMIF(INDIRECT("HNSW_Summary!A:A"),C43,INDEX(INDIRECT("HNSW_Summary!A:Z"),0,MATCH("ClBalance",INDIRECT("HNSW_Summary!1:1"),0)))</f>
        <v>0</v>
      </c>
      <c r="K43" s="35"/>
      <c r="L43" s="63">
        <f ca="1">SUMIF(INDIRECT("HNSW_Summary!A:A"),C43,INDEX(INDIRECT("HNSW_Summary!A:Z"),0,MATCH("MinRepayments",INDIRECT("HNSW_Summary!1:1"),0)))</f>
        <v>0</v>
      </c>
      <c r="M43" s="63">
        <f ca="1">SUMIF(INDIRECT("HNSW_Summary!A:A"),C43,INDEX(INDIRECT("HNSW_Summary!A:Z"),0,MATCH("UnderOver",INDIRECT("HNSW_Summary!1:1"),0)))</f>
        <v>0</v>
      </c>
      <c r="N43" s="32"/>
      <c r="P43" s="31"/>
      <c r="Q43" s="30"/>
      <c r="V43" s="23" t="b">
        <f>IF(D03_Number_of_Loans&gt;=27,FALSE,TRUE)</f>
        <v>1</v>
      </c>
    </row>
    <row r="44" spans="2:22" ht="17.25" hidden="1" customHeight="1">
      <c r="B44" s="36"/>
      <c r="C44" s="66"/>
      <c r="D44" s="65" t="e">
        <f ca="1">IF(C44=E44, HYPERLINK("#'" &amp; VLOOKUP(C44,INDIRECT("HNSW_Summary!$A:$B"),2,0) &amp; "'!A1", "}"), "}")</f>
        <v>#N/A</v>
      </c>
      <c r="E44" s="64" t="e">
        <f ca="1">VLOOKUP(C44,INDIRECT("HNSW_Summary!$A:$B"),1,0)</f>
        <v>#N/A</v>
      </c>
      <c r="F44" s="63" t="str">
        <f ca="1">IFERROR(INDEX(INDIRECT("HNSW_Summary!A:Z"),MATCH(C44,INDIRECT("HNSW_Summary!A:A"), 0),MATCH("Director",INDIRECT("HNSW_Summary!1:1"),0)),"")</f>
        <v/>
      </c>
      <c r="G44" s="63">
        <f ca="1">SUMIF(INDIRECT("HNSW_Summary!A:A"),C44,INDEX(INDIRECT("HNSW_Summary!A:Z"),0,MATCH("OpBalance",INDIRECT("HNSW_Summary!1:1"),0)))</f>
        <v>0</v>
      </c>
      <c r="H44" s="63">
        <f ca="1">SUMIF(INDIRECT("HNSW_Summary!A:A"),C44,INDEX(INDIRECT("HNSW_Summary!A:Z"),0,MATCH("Repayments",INDIRECT("HNSW_Summary!1:1"),0)))</f>
        <v>0</v>
      </c>
      <c r="I44" s="63">
        <f ca="1">SUMIF(INDIRECT("HNSW_Summary!A:A"),C44,INDEX(INDIRECT("HNSW_Summary!A:Z"),0,MATCH("Interest",INDIRECT("HNSW_Summary!1:1"),0)))</f>
        <v>0</v>
      </c>
      <c r="J44" s="63">
        <f ca="1">SUMIF(INDIRECT("HNSW_Summary!A:A"),C44,INDEX(INDIRECT("HNSW_Summary!A:Z"),0,MATCH("ClBalance",INDIRECT("HNSW_Summary!1:1"),0)))</f>
        <v>0</v>
      </c>
      <c r="K44" s="35"/>
      <c r="L44" s="63">
        <f ca="1">SUMIF(INDIRECT("HNSW_Summary!A:A"),C44,INDEX(INDIRECT("HNSW_Summary!A:Z"),0,MATCH("MinRepayments",INDIRECT("HNSW_Summary!1:1"),0)))</f>
        <v>0</v>
      </c>
      <c r="M44" s="63">
        <f ca="1">SUMIF(INDIRECT("HNSW_Summary!A:A"),C44,INDEX(INDIRECT("HNSW_Summary!A:Z"),0,MATCH("UnderOver",INDIRECT("HNSW_Summary!1:1"),0)))</f>
        <v>0</v>
      </c>
      <c r="N44" s="32"/>
      <c r="P44" s="31"/>
      <c r="Q44" s="30"/>
      <c r="V44" s="23" t="b">
        <f>IF(D03_Number_of_Loans&gt;=28,FALSE,TRUE)</f>
        <v>1</v>
      </c>
    </row>
    <row r="45" spans="2:22" ht="17.25" hidden="1" customHeight="1">
      <c r="B45" s="36"/>
      <c r="C45" s="66"/>
      <c r="D45" s="65" t="e">
        <f ca="1">IF(C45=E45, HYPERLINK("#'" &amp; VLOOKUP(C45,INDIRECT("HNSW_Summary!$A:$B"),2,0) &amp; "'!A1", "}"), "}")</f>
        <v>#N/A</v>
      </c>
      <c r="E45" s="64" t="e">
        <f ca="1">VLOOKUP(C45,INDIRECT("HNSW_Summary!$A:$B"),1,0)</f>
        <v>#N/A</v>
      </c>
      <c r="F45" s="63" t="str">
        <f ca="1">IFERROR(INDEX(INDIRECT("HNSW_Summary!A:Z"),MATCH(C45,INDIRECT("HNSW_Summary!A:A"), 0),MATCH("Director",INDIRECT("HNSW_Summary!1:1"),0)),"")</f>
        <v/>
      </c>
      <c r="G45" s="63">
        <f ca="1">SUMIF(INDIRECT("HNSW_Summary!A:A"),C45,INDEX(INDIRECT("HNSW_Summary!A:Z"),0,MATCH("OpBalance",INDIRECT("HNSW_Summary!1:1"),0)))</f>
        <v>0</v>
      </c>
      <c r="H45" s="63">
        <f ca="1">SUMIF(INDIRECT("HNSW_Summary!A:A"),C45,INDEX(INDIRECT("HNSW_Summary!A:Z"),0,MATCH("Repayments",INDIRECT("HNSW_Summary!1:1"),0)))</f>
        <v>0</v>
      </c>
      <c r="I45" s="63">
        <f ca="1">SUMIF(INDIRECT("HNSW_Summary!A:A"),C45,INDEX(INDIRECT("HNSW_Summary!A:Z"),0,MATCH("Interest",INDIRECT("HNSW_Summary!1:1"),0)))</f>
        <v>0</v>
      </c>
      <c r="J45" s="63">
        <f ca="1">SUMIF(INDIRECT("HNSW_Summary!A:A"),C45,INDEX(INDIRECT("HNSW_Summary!A:Z"),0,MATCH("ClBalance",INDIRECT("HNSW_Summary!1:1"),0)))</f>
        <v>0</v>
      </c>
      <c r="K45" s="35"/>
      <c r="L45" s="63">
        <f ca="1">SUMIF(INDIRECT("HNSW_Summary!A:A"),C45,INDEX(INDIRECT("HNSW_Summary!A:Z"),0,MATCH("MinRepayments",INDIRECT("HNSW_Summary!1:1"),0)))</f>
        <v>0</v>
      </c>
      <c r="M45" s="63">
        <f ca="1">SUMIF(INDIRECT("HNSW_Summary!A:A"),C45,INDEX(INDIRECT("HNSW_Summary!A:Z"),0,MATCH("UnderOver",INDIRECT("HNSW_Summary!1:1"),0)))</f>
        <v>0</v>
      </c>
      <c r="N45" s="32"/>
      <c r="P45" s="31"/>
      <c r="Q45" s="30"/>
      <c r="V45" s="23" t="b">
        <f>IF(D03_Number_of_Loans&gt;=29,FALSE,TRUE)</f>
        <v>1</v>
      </c>
    </row>
    <row r="46" spans="2:22" ht="17.25" hidden="1" customHeight="1">
      <c r="B46" s="36"/>
      <c r="C46" s="66"/>
      <c r="D46" s="65" t="e">
        <f ca="1">IF(C46=E46, HYPERLINK("#'" &amp; VLOOKUP(C46,INDIRECT("HNSW_Summary!$A:$B"),2,0) &amp; "'!A1", "}"), "}")</f>
        <v>#N/A</v>
      </c>
      <c r="E46" s="64" t="e">
        <f ca="1">VLOOKUP(C46,INDIRECT("HNSW_Summary!$A:$B"),1,0)</f>
        <v>#N/A</v>
      </c>
      <c r="F46" s="63" t="str">
        <f ca="1">IFERROR(INDEX(INDIRECT("HNSW_Summary!A:Z"),MATCH(C46,INDIRECT("HNSW_Summary!A:A"), 0),MATCH("Director",INDIRECT("HNSW_Summary!1:1"),0)),"")</f>
        <v/>
      </c>
      <c r="G46" s="63">
        <f ca="1">SUMIF(INDIRECT("HNSW_Summary!A:A"),C46,INDEX(INDIRECT("HNSW_Summary!A:Z"),0,MATCH("OpBalance",INDIRECT("HNSW_Summary!1:1"),0)))</f>
        <v>0</v>
      </c>
      <c r="H46" s="63">
        <f ca="1">SUMIF(INDIRECT("HNSW_Summary!A:A"),C46,INDEX(INDIRECT("HNSW_Summary!A:Z"),0,MATCH("Repayments",INDIRECT("HNSW_Summary!1:1"),0)))</f>
        <v>0</v>
      </c>
      <c r="I46" s="63">
        <f ca="1">SUMIF(INDIRECT("HNSW_Summary!A:A"),C46,INDEX(INDIRECT("HNSW_Summary!A:Z"),0,MATCH("Interest",INDIRECT("HNSW_Summary!1:1"),0)))</f>
        <v>0</v>
      </c>
      <c r="J46" s="63">
        <f ca="1">SUMIF(INDIRECT("HNSW_Summary!A:A"),C46,INDEX(INDIRECT("HNSW_Summary!A:Z"),0,MATCH("ClBalance",INDIRECT("HNSW_Summary!1:1"),0)))</f>
        <v>0</v>
      </c>
      <c r="K46" s="35"/>
      <c r="L46" s="63">
        <f ca="1">SUMIF(INDIRECT("HNSW_Summary!A:A"),C46,INDEX(INDIRECT("HNSW_Summary!A:Z"),0,MATCH("MinRepayments",INDIRECT("HNSW_Summary!1:1"),0)))</f>
        <v>0</v>
      </c>
      <c r="M46" s="63">
        <f ca="1">SUMIF(INDIRECT("HNSW_Summary!A:A"),C46,INDEX(INDIRECT("HNSW_Summary!A:Z"),0,MATCH("UnderOver",INDIRECT("HNSW_Summary!1:1"),0)))</f>
        <v>0</v>
      </c>
      <c r="N46" s="32"/>
      <c r="P46" s="31"/>
      <c r="Q46" s="30"/>
      <c r="V46" s="23" t="b">
        <f>IF(D03_Number_of_Loans&gt;=30,FALSE,TRUE)</f>
        <v>1</v>
      </c>
    </row>
    <row r="47" spans="2:22" ht="17.25" hidden="1" customHeight="1">
      <c r="B47" s="36"/>
      <c r="C47" s="66"/>
      <c r="D47" s="65" t="e">
        <f ca="1">IF(C47=E47, HYPERLINK("#'" &amp; VLOOKUP(C47,INDIRECT("HNSW_Summary!$A:$B"),2,0) &amp; "'!A1", "}"), "}")</f>
        <v>#N/A</v>
      </c>
      <c r="E47" s="64" t="e">
        <f ca="1">VLOOKUP(C47,INDIRECT("HNSW_Summary!$A:$B"),1,0)</f>
        <v>#N/A</v>
      </c>
      <c r="F47" s="63" t="str">
        <f ca="1">IFERROR(INDEX(INDIRECT("HNSW_Summary!A:Z"),MATCH(C47,INDIRECT("HNSW_Summary!A:A"), 0),MATCH("Director",INDIRECT("HNSW_Summary!1:1"),0)),"")</f>
        <v/>
      </c>
      <c r="G47" s="63">
        <f ca="1">SUMIF(INDIRECT("HNSW_Summary!A:A"),C47,INDEX(INDIRECT("HNSW_Summary!A:Z"),0,MATCH("OpBalance",INDIRECT("HNSW_Summary!1:1"),0)))</f>
        <v>0</v>
      </c>
      <c r="H47" s="63">
        <f ca="1">SUMIF(INDIRECT("HNSW_Summary!A:A"),C47,INDEX(INDIRECT("HNSW_Summary!A:Z"),0,MATCH("Repayments",INDIRECT("HNSW_Summary!1:1"),0)))</f>
        <v>0</v>
      </c>
      <c r="I47" s="63">
        <f ca="1">SUMIF(INDIRECT("HNSW_Summary!A:A"),C47,INDEX(INDIRECT("HNSW_Summary!A:Z"),0,MATCH("Interest",INDIRECT("HNSW_Summary!1:1"),0)))</f>
        <v>0</v>
      </c>
      <c r="J47" s="63">
        <f ca="1">SUMIF(INDIRECT("HNSW_Summary!A:A"),C47,INDEX(INDIRECT("HNSW_Summary!A:Z"),0,MATCH("ClBalance",INDIRECT("HNSW_Summary!1:1"),0)))</f>
        <v>0</v>
      </c>
      <c r="K47" s="35"/>
      <c r="L47" s="63">
        <f ca="1">SUMIF(INDIRECT("HNSW_Summary!A:A"),C47,INDEX(INDIRECT("HNSW_Summary!A:Z"),0,MATCH("MinRepayments",INDIRECT("HNSW_Summary!1:1"),0)))</f>
        <v>0</v>
      </c>
      <c r="M47" s="63">
        <f ca="1">SUMIF(INDIRECT("HNSW_Summary!A:A"),C47,INDEX(INDIRECT("HNSW_Summary!A:Z"),0,MATCH("UnderOver",INDIRECT("HNSW_Summary!1:1"),0)))</f>
        <v>0</v>
      </c>
      <c r="N47" s="32"/>
      <c r="P47" s="31"/>
      <c r="Q47" s="30"/>
      <c r="V47" s="23" t="b">
        <f>IF(D03_Number_of_Loans&gt;=31,FALSE,TRUE)</f>
        <v>1</v>
      </c>
    </row>
    <row r="48" spans="2:22" ht="17.25" hidden="1" customHeight="1">
      <c r="B48" s="36"/>
      <c r="C48" s="66"/>
      <c r="D48" s="65" t="e">
        <f ca="1">IF(C48=E48, HYPERLINK("#'" &amp; VLOOKUP(C48,INDIRECT("HNSW_Summary!$A:$B"),2,0) &amp; "'!A1", "}"), "}")</f>
        <v>#N/A</v>
      </c>
      <c r="E48" s="64" t="e">
        <f ca="1">VLOOKUP(C48,INDIRECT("HNSW_Summary!$A:$B"),1,0)</f>
        <v>#N/A</v>
      </c>
      <c r="F48" s="63" t="str">
        <f ca="1">IFERROR(INDEX(INDIRECT("HNSW_Summary!A:Z"),MATCH(C48,INDIRECT("HNSW_Summary!A:A"), 0),MATCH("Director",INDIRECT("HNSW_Summary!1:1"),0)),"")</f>
        <v/>
      </c>
      <c r="G48" s="63">
        <f ca="1">SUMIF(INDIRECT("HNSW_Summary!A:A"),C48,INDEX(INDIRECT("HNSW_Summary!A:Z"),0,MATCH("OpBalance",INDIRECT("HNSW_Summary!1:1"),0)))</f>
        <v>0</v>
      </c>
      <c r="H48" s="63">
        <f ca="1">SUMIF(INDIRECT("HNSW_Summary!A:A"),C48,INDEX(INDIRECT("HNSW_Summary!A:Z"),0,MATCH("Repayments",INDIRECT("HNSW_Summary!1:1"),0)))</f>
        <v>0</v>
      </c>
      <c r="I48" s="63">
        <f ca="1">SUMIF(INDIRECT("HNSW_Summary!A:A"),C48,INDEX(INDIRECT("HNSW_Summary!A:Z"),0,MATCH("Interest",INDIRECT("HNSW_Summary!1:1"),0)))</f>
        <v>0</v>
      </c>
      <c r="J48" s="63">
        <f ca="1">SUMIF(INDIRECT("HNSW_Summary!A:A"),C48,INDEX(INDIRECT("HNSW_Summary!A:Z"),0,MATCH("ClBalance",INDIRECT("HNSW_Summary!1:1"),0)))</f>
        <v>0</v>
      </c>
      <c r="K48" s="35"/>
      <c r="L48" s="63">
        <f ca="1">SUMIF(INDIRECT("HNSW_Summary!A:A"),C48,INDEX(INDIRECT("HNSW_Summary!A:Z"),0,MATCH("MinRepayments",INDIRECT("HNSW_Summary!1:1"),0)))</f>
        <v>0</v>
      </c>
      <c r="M48" s="63">
        <f ca="1">SUMIF(INDIRECT("HNSW_Summary!A:A"),C48,INDEX(INDIRECT("HNSW_Summary!A:Z"),0,MATCH("UnderOver",INDIRECT("HNSW_Summary!1:1"),0)))</f>
        <v>0</v>
      </c>
      <c r="N48" s="32"/>
      <c r="P48" s="31"/>
      <c r="Q48" s="30"/>
      <c r="V48" s="23" t="b">
        <f>IF(D03_Number_of_Loans&gt;=32,FALSE,TRUE)</f>
        <v>1</v>
      </c>
    </row>
    <row r="49" spans="2:22" ht="17.25" hidden="1" customHeight="1">
      <c r="B49" s="36"/>
      <c r="C49" s="66"/>
      <c r="D49" s="65" t="e">
        <f ca="1">IF(C49=E49, HYPERLINK("#'" &amp; VLOOKUP(C49,INDIRECT("HNSW_Summary!$A:$B"),2,0) &amp; "'!A1", "}"), "}")</f>
        <v>#N/A</v>
      </c>
      <c r="E49" s="64" t="e">
        <f ca="1">VLOOKUP(C49,INDIRECT("HNSW_Summary!$A:$B"),1,0)</f>
        <v>#N/A</v>
      </c>
      <c r="F49" s="63" t="str">
        <f ca="1">IFERROR(INDEX(INDIRECT("HNSW_Summary!A:Z"),MATCH(C49,INDIRECT("HNSW_Summary!A:A"), 0),MATCH("Director",INDIRECT("HNSW_Summary!1:1"),0)),"")</f>
        <v/>
      </c>
      <c r="G49" s="63">
        <f ca="1">SUMIF(INDIRECT("HNSW_Summary!A:A"),C49,INDEX(INDIRECT("HNSW_Summary!A:Z"),0,MATCH("OpBalance",INDIRECT("HNSW_Summary!1:1"),0)))</f>
        <v>0</v>
      </c>
      <c r="H49" s="63">
        <f ca="1">SUMIF(INDIRECT("HNSW_Summary!A:A"),C49,INDEX(INDIRECT("HNSW_Summary!A:Z"),0,MATCH("Repayments",INDIRECT("HNSW_Summary!1:1"),0)))</f>
        <v>0</v>
      </c>
      <c r="I49" s="63">
        <f ca="1">SUMIF(INDIRECT("HNSW_Summary!A:A"),C49,INDEX(INDIRECT("HNSW_Summary!A:Z"),0,MATCH("Interest",INDIRECT("HNSW_Summary!1:1"),0)))</f>
        <v>0</v>
      </c>
      <c r="J49" s="63">
        <f ca="1">SUMIF(INDIRECT("HNSW_Summary!A:A"),C49,INDEX(INDIRECT("HNSW_Summary!A:Z"),0,MATCH("ClBalance",INDIRECT("HNSW_Summary!1:1"),0)))</f>
        <v>0</v>
      </c>
      <c r="K49" s="35"/>
      <c r="L49" s="63">
        <f ca="1">SUMIF(INDIRECT("HNSW_Summary!A:A"),C49,INDEX(INDIRECT("HNSW_Summary!A:Z"),0,MATCH("MinRepayments",INDIRECT("HNSW_Summary!1:1"),0)))</f>
        <v>0</v>
      </c>
      <c r="M49" s="63">
        <f ca="1">SUMIF(INDIRECT("HNSW_Summary!A:A"),C49,INDEX(INDIRECT("HNSW_Summary!A:Z"),0,MATCH("UnderOver",INDIRECT("HNSW_Summary!1:1"),0)))</f>
        <v>0</v>
      </c>
      <c r="N49" s="32"/>
      <c r="P49" s="31"/>
      <c r="Q49" s="30"/>
      <c r="V49" s="23" t="b">
        <f>IF(D03_Number_of_Loans&gt;=33,FALSE,TRUE)</f>
        <v>1</v>
      </c>
    </row>
    <row r="50" spans="2:22" ht="17.25" hidden="1" customHeight="1">
      <c r="B50" s="36"/>
      <c r="C50" s="66"/>
      <c r="D50" s="65" t="e">
        <f ca="1">IF(C50=E50, HYPERLINK("#'" &amp; VLOOKUP(C50,INDIRECT("HNSW_Summary!$A:$B"),2,0) &amp; "'!A1", "}"), "}")</f>
        <v>#N/A</v>
      </c>
      <c r="E50" s="64" t="e">
        <f ca="1">VLOOKUP(C50,INDIRECT("HNSW_Summary!$A:$B"),1,0)</f>
        <v>#N/A</v>
      </c>
      <c r="F50" s="63" t="str">
        <f ca="1">IFERROR(INDEX(INDIRECT("HNSW_Summary!A:Z"),MATCH(C50,INDIRECT("HNSW_Summary!A:A"), 0),MATCH("Director",INDIRECT("HNSW_Summary!1:1"),0)),"")</f>
        <v/>
      </c>
      <c r="G50" s="63">
        <f ca="1">SUMIF(INDIRECT("HNSW_Summary!A:A"),C50,INDEX(INDIRECT("HNSW_Summary!A:Z"),0,MATCH("OpBalance",INDIRECT("HNSW_Summary!1:1"),0)))</f>
        <v>0</v>
      </c>
      <c r="H50" s="63">
        <f ca="1">SUMIF(INDIRECT("HNSW_Summary!A:A"),C50,INDEX(INDIRECT("HNSW_Summary!A:Z"),0,MATCH("Repayments",INDIRECT("HNSW_Summary!1:1"),0)))</f>
        <v>0</v>
      </c>
      <c r="I50" s="63">
        <f ca="1">SUMIF(INDIRECT("HNSW_Summary!A:A"),C50,INDEX(INDIRECT("HNSW_Summary!A:Z"),0,MATCH("Interest",INDIRECT("HNSW_Summary!1:1"),0)))</f>
        <v>0</v>
      </c>
      <c r="J50" s="63">
        <f ca="1">SUMIF(INDIRECT("HNSW_Summary!A:A"),C50,INDEX(INDIRECT("HNSW_Summary!A:Z"),0,MATCH("ClBalance",INDIRECT("HNSW_Summary!1:1"),0)))</f>
        <v>0</v>
      </c>
      <c r="K50" s="35"/>
      <c r="L50" s="63">
        <f ca="1">SUMIF(INDIRECT("HNSW_Summary!A:A"),C50,INDEX(INDIRECT("HNSW_Summary!A:Z"),0,MATCH("MinRepayments",INDIRECT("HNSW_Summary!1:1"),0)))</f>
        <v>0</v>
      </c>
      <c r="M50" s="63">
        <f ca="1">SUMIF(INDIRECT("HNSW_Summary!A:A"),C50,INDEX(INDIRECT("HNSW_Summary!A:Z"),0,MATCH("UnderOver",INDIRECT("HNSW_Summary!1:1"),0)))</f>
        <v>0</v>
      </c>
      <c r="N50" s="32"/>
      <c r="P50" s="31"/>
      <c r="Q50" s="30"/>
      <c r="V50" s="23" t="b">
        <f>IF(D03_Number_of_Loans&gt;=34,FALSE,TRUE)</f>
        <v>1</v>
      </c>
    </row>
    <row r="51" spans="2:22" ht="17.25" hidden="1" customHeight="1">
      <c r="B51" s="36"/>
      <c r="C51" s="66"/>
      <c r="D51" s="65" t="e">
        <f ca="1">IF(C51=E51, HYPERLINK("#'" &amp; VLOOKUP(C51,INDIRECT("HNSW_Summary!$A:$B"),2,0) &amp; "'!A1", "}"), "}")</f>
        <v>#N/A</v>
      </c>
      <c r="E51" s="64" t="e">
        <f ca="1">VLOOKUP(C51,INDIRECT("HNSW_Summary!$A:$B"),1,0)</f>
        <v>#N/A</v>
      </c>
      <c r="F51" s="63" t="str">
        <f ca="1">IFERROR(INDEX(INDIRECT("HNSW_Summary!A:Z"),MATCH(C51,INDIRECT("HNSW_Summary!A:A"), 0),MATCH("Director",INDIRECT("HNSW_Summary!1:1"),0)),"")</f>
        <v/>
      </c>
      <c r="G51" s="63">
        <f ca="1">SUMIF(INDIRECT("HNSW_Summary!A:A"),C51,INDEX(INDIRECT("HNSW_Summary!A:Z"),0,MATCH("OpBalance",INDIRECT("HNSW_Summary!1:1"),0)))</f>
        <v>0</v>
      </c>
      <c r="H51" s="63">
        <f ca="1">SUMIF(INDIRECT("HNSW_Summary!A:A"),C51,INDEX(INDIRECT("HNSW_Summary!A:Z"),0,MATCH("Repayments",INDIRECT("HNSW_Summary!1:1"),0)))</f>
        <v>0</v>
      </c>
      <c r="I51" s="63">
        <f ca="1">SUMIF(INDIRECT("HNSW_Summary!A:A"),C51,INDEX(INDIRECT("HNSW_Summary!A:Z"),0,MATCH("Interest",INDIRECT("HNSW_Summary!1:1"),0)))</f>
        <v>0</v>
      </c>
      <c r="J51" s="63">
        <f ca="1">SUMIF(INDIRECT("HNSW_Summary!A:A"),C51,INDEX(INDIRECT("HNSW_Summary!A:Z"),0,MATCH("ClBalance",INDIRECT("HNSW_Summary!1:1"),0)))</f>
        <v>0</v>
      </c>
      <c r="K51" s="35"/>
      <c r="L51" s="63">
        <f ca="1">SUMIF(INDIRECT("HNSW_Summary!A:A"),C51,INDEX(INDIRECT("HNSW_Summary!A:Z"),0,MATCH("MinRepayments",INDIRECT("HNSW_Summary!1:1"),0)))</f>
        <v>0</v>
      </c>
      <c r="M51" s="63">
        <f ca="1">SUMIF(INDIRECT("HNSW_Summary!A:A"),C51,INDEX(INDIRECT("HNSW_Summary!A:Z"),0,MATCH("UnderOver",INDIRECT("HNSW_Summary!1:1"),0)))</f>
        <v>0</v>
      </c>
      <c r="N51" s="32"/>
      <c r="P51" s="31"/>
      <c r="Q51" s="30"/>
      <c r="V51" s="23" t="b">
        <f>IF(D03_Number_of_Loans&gt;=35,FALSE,TRUE)</f>
        <v>1</v>
      </c>
    </row>
    <row r="52" spans="2:22" ht="17.25" hidden="1" customHeight="1">
      <c r="B52" s="36"/>
      <c r="C52" s="66"/>
      <c r="D52" s="65" t="e">
        <f ca="1">IF(C52=E52, HYPERLINK("#'" &amp; VLOOKUP(C52,INDIRECT("HNSW_Summary!$A:$B"),2,0) &amp; "'!A1", "}"), "}")</f>
        <v>#N/A</v>
      </c>
      <c r="E52" s="64" t="e">
        <f ca="1">VLOOKUP(C52,INDIRECT("HNSW_Summary!$A:$B"),1,0)</f>
        <v>#N/A</v>
      </c>
      <c r="F52" s="63" t="str">
        <f ca="1">IFERROR(INDEX(INDIRECT("HNSW_Summary!A:Z"),MATCH(C52,INDIRECT("HNSW_Summary!A:A"), 0),MATCH("Director",INDIRECT("HNSW_Summary!1:1"),0)),"")</f>
        <v/>
      </c>
      <c r="G52" s="63">
        <f ca="1">SUMIF(INDIRECT("HNSW_Summary!A:A"),C52,INDEX(INDIRECT("HNSW_Summary!A:Z"),0,MATCH("OpBalance",INDIRECT("HNSW_Summary!1:1"),0)))</f>
        <v>0</v>
      </c>
      <c r="H52" s="63">
        <f ca="1">SUMIF(INDIRECT("HNSW_Summary!A:A"),C52,INDEX(INDIRECT("HNSW_Summary!A:Z"),0,MATCH("Repayments",INDIRECT("HNSW_Summary!1:1"),0)))</f>
        <v>0</v>
      </c>
      <c r="I52" s="63">
        <f ca="1">SUMIF(INDIRECT("HNSW_Summary!A:A"),C52,INDEX(INDIRECT("HNSW_Summary!A:Z"),0,MATCH("Interest",INDIRECT("HNSW_Summary!1:1"),0)))</f>
        <v>0</v>
      </c>
      <c r="J52" s="63">
        <f ca="1">SUMIF(INDIRECT("HNSW_Summary!A:A"),C52,INDEX(INDIRECT("HNSW_Summary!A:Z"),0,MATCH("ClBalance",INDIRECT("HNSW_Summary!1:1"),0)))</f>
        <v>0</v>
      </c>
      <c r="K52" s="35"/>
      <c r="L52" s="63">
        <f ca="1">SUMIF(INDIRECT("HNSW_Summary!A:A"),C52,INDEX(INDIRECT("HNSW_Summary!A:Z"),0,MATCH("MinRepayments",INDIRECT("HNSW_Summary!1:1"),0)))</f>
        <v>0</v>
      </c>
      <c r="M52" s="63">
        <f ca="1">SUMIF(INDIRECT("HNSW_Summary!A:A"),C52,INDEX(INDIRECT("HNSW_Summary!A:Z"),0,MATCH("UnderOver",INDIRECT("HNSW_Summary!1:1"),0)))</f>
        <v>0</v>
      </c>
      <c r="N52" s="32"/>
      <c r="P52" s="31"/>
      <c r="Q52" s="30"/>
      <c r="V52" s="23" t="b">
        <f>IF(D03_Number_of_Loans&gt;=36,FALSE,TRUE)</f>
        <v>1</v>
      </c>
    </row>
    <row r="53" spans="2:22" ht="17.25" hidden="1" customHeight="1">
      <c r="B53" s="36"/>
      <c r="C53" s="66"/>
      <c r="D53" s="65" t="e">
        <f ca="1">IF(C53=E53, HYPERLINK("#'" &amp; VLOOKUP(C53,INDIRECT("HNSW_Summary!$A:$B"),2,0) &amp; "'!A1", "}"), "}")</f>
        <v>#N/A</v>
      </c>
      <c r="E53" s="64" t="e">
        <f ca="1">VLOOKUP(C53,INDIRECT("HNSW_Summary!$A:$B"),1,0)</f>
        <v>#N/A</v>
      </c>
      <c r="F53" s="63" t="str">
        <f ca="1">IFERROR(INDEX(INDIRECT("HNSW_Summary!A:Z"),MATCH(C53,INDIRECT("HNSW_Summary!A:A"), 0),MATCH("Director",INDIRECT("HNSW_Summary!1:1"),0)),"")</f>
        <v/>
      </c>
      <c r="G53" s="63">
        <f ca="1">SUMIF(INDIRECT("HNSW_Summary!A:A"),C53,INDEX(INDIRECT("HNSW_Summary!A:Z"),0,MATCH("OpBalance",INDIRECT("HNSW_Summary!1:1"),0)))</f>
        <v>0</v>
      </c>
      <c r="H53" s="63">
        <f ca="1">SUMIF(INDIRECT("HNSW_Summary!A:A"),C53,INDEX(INDIRECT("HNSW_Summary!A:Z"),0,MATCH("Repayments",INDIRECT("HNSW_Summary!1:1"),0)))</f>
        <v>0</v>
      </c>
      <c r="I53" s="63">
        <f ca="1">SUMIF(INDIRECT("HNSW_Summary!A:A"),C53,INDEX(INDIRECT("HNSW_Summary!A:Z"),0,MATCH("Interest",INDIRECT("HNSW_Summary!1:1"),0)))</f>
        <v>0</v>
      </c>
      <c r="J53" s="63">
        <f ca="1">SUMIF(INDIRECT("HNSW_Summary!A:A"),C53,INDEX(INDIRECT("HNSW_Summary!A:Z"),0,MATCH("ClBalance",INDIRECT("HNSW_Summary!1:1"),0)))</f>
        <v>0</v>
      </c>
      <c r="K53" s="35"/>
      <c r="L53" s="63">
        <f ca="1">SUMIF(INDIRECT("HNSW_Summary!A:A"),C53,INDEX(INDIRECT("HNSW_Summary!A:Z"),0,MATCH("MinRepayments",INDIRECT("HNSW_Summary!1:1"),0)))</f>
        <v>0</v>
      </c>
      <c r="M53" s="63">
        <f ca="1">SUMIF(INDIRECT("HNSW_Summary!A:A"),C53,INDEX(INDIRECT("HNSW_Summary!A:Z"),0,MATCH("UnderOver",INDIRECT("HNSW_Summary!1:1"),0)))</f>
        <v>0</v>
      </c>
      <c r="N53" s="32"/>
      <c r="P53" s="31"/>
      <c r="Q53" s="30"/>
      <c r="V53" s="23" t="b">
        <f>IF(D03_Number_of_Loans&gt;=37,FALSE,TRUE)</f>
        <v>1</v>
      </c>
    </row>
    <row r="54" spans="2:22" ht="17.25" hidden="1" customHeight="1">
      <c r="B54" s="36"/>
      <c r="C54" s="66"/>
      <c r="D54" s="65" t="e">
        <f ca="1">IF(C54=E54, HYPERLINK("#'" &amp; VLOOKUP(C54,INDIRECT("HNSW_Summary!$A:$B"),2,0) &amp; "'!A1", "}"), "}")</f>
        <v>#N/A</v>
      </c>
      <c r="E54" s="64" t="e">
        <f ca="1">VLOOKUP(C54,INDIRECT("HNSW_Summary!$A:$B"),1,0)</f>
        <v>#N/A</v>
      </c>
      <c r="F54" s="63" t="str">
        <f ca="1">IFERROR(INDEX(INDIRECT("HNSW_Summary!A:Z"),MATCH(C54,INDIRECT("HNSW_Summary!A:A"), 0),MATCH("Director",INDIRECT("HNSW_Summary!1:1"),0)),"")</f>
        <v/>
      </c>
      <c r="G54" s="63">
        <f ca="1">SUMIF(INDIRECT("HNSW_Summary!A:A"),C54,INDEX(INDIRECT("HNSW_Summary!A:Z"),0,MATCH("OpBalance",INDIRECT("HNSW_Summary!1:1"),0)))</f>
        <v>0</v>
      </c>
      <c r="H54" s="63">
        <f ca="1">SUMIF(INDIRECT("HNSW_Summary!A:A"),C54,INDEX(INDIRECT("HNSW_Summary!A:Z"),0,MATCH("Repayments",INDIRECT("HNSW_Summary!1:1"),0)))</f>
        <v>0</v>
      </c>
      <c r="I54" s="63">
        <f ca="1">SUMIF(INDIRECT("HNSW_Summary!A:A"),C54,INDEX(INDIRECT("HNSW_Summary!A:Z"),0,MATCH("Interest",INDIRECT("HNSW_Summary!1:1"),0)))</f>
        <v>0</v>
      </c>
      <c r="J54" s="63">
        <f ca="1">SUMIF(INDIRECT("HNSW_Summary!A:A"),C54,INDEX(INDIRECT("HNSW_Summary!A:Z"),0,MATCH("ClBalance",INDIRECT("HNSW_Summary!1:1"),0)))</f>
        <v>0</v>
      </c>
      <c r="K54" s="35"/>
      <c r="L54" s="63">
        <f ca="1">SUMIF(INDIRECT("HNSW_Summary!A:A"),C54,INDEX(INDIRECT("HNSW_Summary!A:Z"),0,MATCH("MinRepayments",INDIRECT("HNSW_Summary!1:1"),0)))</f>
        <v>0</v>
      </c>
      <c r="M54" s="63">
        <f ca="1">SUMIF(INDIRECT("HNSW_Summary!A:A"),C54,INDEX(INDIRECT("HNSW_Summary!A:Z"),0,MATCH("UnderOver",INDIRECT("HNSW_Summary!1:1"),0)))</f>
        <v>0</v>
      </c>
      <c r="N54" s="32"/>
      <c r="P54" s="31"/>
      <c r="Q54" s="30"/>
      <c r="V54" s="23" t="b">
        <f>IF(D03_Number_of_Loans&gt;=38,FALSE,TRUE)</f>
        <v>1</v>
      </c>
    </row>
    <row r="55" spans="2:22" ht="17.25" hidden="1" customHeight="1">
      <c r="B55" s="36"/>
      <c r="C55" s="66"/>
      <c r="D55" s="65" t="e">
        <f ca="1">IF(C55=E55, HYPERLINK("#'" &amp; VLOOKUP(C55,INDIRECT("HNSW_Summary!$A:$B"),2,0) &amp; "'!A1", "}"), "}")</f>
        <v>#N/A</v>
      </c>
      <c r="E55" s="64" t="e">
        <f ca="1">VLOOKUP(C55,INDIRECT("HNSW_Summary!$A:$B"),1,0)</f>
        <v>#N/A</v>
      </c>
      <c r="F55" s="63" t="str">
        <f ca="1">IFERROR(INDEX(INDIRECT("HNSW_Summary!A:Z"),MATCH(C55,INDIRECT("HNSW_Summary!A:A"), 0),MATCH("Director",INDIRECT("HNSW_Summary!1:1"),0)),"")</f>
        <v/>
      </c>
      <c r="G55" s="63">
        <f ca="1">SUMIF(INDIRECT("HNSW_Summary!A:A"),C55,INDEX(INDIRECT("HNSW_Summary!A:Z"),0,MATCH("OpBalance",INDIRECT("HNSW_Summary!1:1"),0)))</f>
        <v>0</v>
      </c>
      <c r="H55" s="63">
        <f ca="1">SUMIF(INDIRECT("HNSW_Summary!A:A"),C55,INDEX(INDIRECT("HNSW_Summary!A:Z"),0,MATCH("Repayments",INDIRECT("HNSW_Summary!1:1"),0)))</f>
        <v>0</v>
      </c>
      <c r="I55" s="63">
        <f ca="1">SUMIF(INDIRECT("HNSW_Summary!A:A"),C55,INDEX(INDIRECT("HNSW_Summary!A:Z"),0,MATCH("Interest",INDIRECT("HNSW_Summary!1:1"),0)))</f>
        <v>0</v>
      </c>
      <c r="J55" s="63">
        <f ca="1">SUMIF(INDIRECT("HNSW_Summary!A:A"),C55,INDEX(INDIRECT("HNSW_Summary!A:Z"),0,MATCH("ClBalance",INDIRECT("HNSW_Summary!1:1"),0)))</f>
        <v>0</v>
      </c>
      <c r="K55" s="35"/>
      <c r="L55" s="63">
        <f ca="1">SUMIF(INDIRECT("HNSW_Summary!A:A"),C55,INDEX(INDIRECT("HNSW_Summary!A:Z"),0,MATCH("MinRepayments",INDIRECT("HNSW_Summary!1:1"),0)))</f>
        <v>0</v>
      </c>
      <c r="M55" s="63">
        <f ca="1">SUMIF(INDIRECT("HNSW_Summary!A:A"),C55,INDEX(INDIRECT("HNSW_Summary!A:Z"),0,MATCH("UnderOver",INDIRECT("HNSW_Summary!1:1"),0)))</f>
        <v>0</v>
      </c>
      <c r="N55" s="32"/>
      <c r="P55" s="31"/>
      <c r="Q55" s="30"/>
      <c r="V55" s="23" t="b">
        <f>IF(D03_Number_of_Loans&gt;=39,FALSE,TRUE)</f>
        <v>1</v>
      </c>
    </row>
    <row r="56" spans="2:22" ht="17.25" hidden="1" customHeight="1">
      <c r="B56" s="36"/>
      <c r="C56" s="66"/>
      <c r="D56" s="65" t="e">
        <f ca="1">IF(C56=E56, HYPERLINK("#'" &amp; VLOOKUP(C56,INDIRECT("HNSW_Summary!$A:$B"),2,0) &amp; "'!A1", "}"), "}")</f>
        <v>#N/A</v>
      </c>
      <c r="E56" s="64" t="e">
        <f ca="1">VLOOKUP(C56,INDIRECT("HNSW_Summary!$A:$B"),1,0)</f>
        <v>#N/A</v>
      </c>
      <c r="F56" s="63" t="str">
        <f ca="1">IFERROR(INDEX(INDIRECT("HNSW_Summary!A:Z"),MATCH(C56,INDIRECT("HNSW_Summary!A:A"), 0),MATCH("Director",INDIRECT("HNSW_Summary!1:1"),0)),"")</f>
        <v/>
      </c>
      <c r="G56" s="63">
        <f ca="1">SUMIF(INDIRECT("HNSW_Summary!A:A"),C56,INDEX(INDIRECT("HNSW_Summary!A:Z"),0,MATCH("OpBalance",INDIRECT("HNSW_Summary!1:1"),0)))</f>
        <v>0</v>
      </c>
      <c r="H56" s="63">
        <f ca="1">SUMIF(INDIRECT("HNSW_Summary!A:A"),C56,INDEX(INDIRECT("HNSW_Summary!A:Z"),0,MATCH("Repayments",INDIRECT("HNSW_Summary!1:1"),0)))</f>
        <v>0</v>
      </c>
      <c r="I56" s="63">
        <f ca="1">SUMIF(INDIRECT("HNSW_Summary!A:A"),C56,INDEX(INDIRECT("HNSW_Summary!A:Z"),0,MATCH("Interest",INDIRECT("HNSW_Summary!1:1"),0)))</f>
        <v>0</v>
      </c>
      <c r="J56" s="63">
        <f ca="1">SUMIF(INDIRECT("HNSW_Summary!A:A"),C56,INDEX(INDIRECT("HNSW_Summary!A:Z"),0,MATCH("ClBalance",INDIRECT("HNSW_Summary!1:1"),0)))</f>
        <v>0</v>
      </c>
      <c r="K56" s="35"/>
      <c r="L56" s="63">
        <f ca="1">SUMIF(INDIRECT("HNSW_Summary!A:A"),C56,INDEX(INDIRECT("HNSW_Summary!A:Z"),0,MATCH("MinRepayments",INDIRECT("HNSW_Summary!1:1"),0)))</f>
        <v>0</v>
      </c>
      <c r="M56" s="63">
        <f ca="1">SUMIF(INDIRECT("HNSW_Summary!A:A"),C56,INDEX(INDIRECT("HNSW_Summary!A:Z"),0,MATCH("UnderOver",INDIRECT("HNSW_Summary!1:1"),0)))</f>
        <v>0</v>
      </c>
      <c r="N56" s="32"/>
      <c r="P56" s="31"/>
      <c r="Q56" s="30"/>
      <c r="V56" s="23" t="b">
        <f>IF(D03_Number_of_Loans&gt;=40,FALSE,TRUE)</f>
        <v>1</v>
      </c>
    </row>
    <row r="57" spans="2:22" ht="17.25" hidden="1" customHeight="1">
      <c r="B57" s="36"/>
      <c r="C57" s="66"/>
      <c r="D57" s="65" t="e">
        <f ca="1">IF(C57=E57, HYPERLINK("#'" &amp; VLOOKUP(C57,INDIRECT("HNSW_Summary!$A:$B"),2,0) &amp; "'!A1", "}"), "}")</f>
        <v>#N/A</v>
      </c>
      <c r="E57" s="64" t="e">
        <f ca="1">VLOOKUP(C57,INDIRECT("HNSW_Summary!$A:$B"),1,0)</f>
        <v>#N/A</v>
      </c>
      <c r="F57" s="63" t="str">
        <f ca="1">IFERROR(INDEX(INDIRECT("HNSW_Summary!A:Z"),MATCH(C57,INDIRECT("HNSW_Summary!A:A"), 0),MATCH("Director",INDIRECT("HNSW_Summary!1:1"),0)),"")</f>
        <v/>
      </c>
      <c r="G57" s="63">
        <f ca="1">SUMIF(INDIRECT("HNSW_Summary!A:A"),C57,INDEX(INDIRECT("HNSW_Summary!A:Z"),0,MATCH("OpBalance",INDIRECT("HNSW_Summary!1:1"),0)))</f>
        <v>0</v>
      </c>
      <c r="H57" s="63">
        <f ca="1">SUMIF(INDIRECT("HNSW_Summary!A:A"),C57,INDEX(INDIRECT("HNSW_Summary!A:Z"),0,MATCH("Repayments",INDIRECT("HNSW_Summary!1:1"),0)))</f>
        <v>0</v>
      </c>
      <c r="I57" s="63">
        <f ca="1">SUMIF(INDIRECT("HNSW_Summary!A:A"),C57,INDEX(INDIRECT("HNSW_Summary!A:Z"),0,MATCH("Interest",INDIRECT("HNSW_Summary!1:1"),0)))</f>
        <v>0</v>
      </c>
      <c r="J57" s="63">
        <f ca="1">SUMIF(INDIRECT("HNSW_Summary!A:A"),C57,INDEX(INDIRECT("HNSW_Summary!A:Z"),0,MATCH("ClBalance",INDIRECT("HNSW_Summary!1:1"),0)))</f>
        <v>0</v>
      </c>
      <c r="K57" s="35"/>
      <c r="L57" s="63">
        <f ca="1">SUMIF(INDIRECT("HNSW_Summary!A:A"),C57,INDEX(INDIRECT("HNSW_Summary!A:Z"),0,MATCH("MinRepayments",INDIRECT("HNSW_Summary!1:1"),0)))</f>
        <v>0</v>
      </c>
      <c r="M57" s="63">
        <f ca="1">SUMIF(INDIRECT("HNSW_Summary!A:A"),C57,INDEX(INDIRECT("HNSW_Summary!A:Z"),0,MATCH("UnderOver",INDIRECT("HNSW_Summary!1:1"),0)))</f>
        <v>0</v>
      </c>
      <c r="N57" s="32"/>
      <c r="P57" s="31"/>
      <c r="Q57" s="30"/>
      <c r="V57" s="23" t="b">
        <f>IF(D03_Number_of_Loans&gt;=41,FALSE,TRUE)</f>
        <v>1</v>
      </c>
    </row>
    <row r="58" spans="2:22" ht="17.25" hidden="1" customHeight="1">
      <c r="B58" s="36"/>
      <c r="C58" s="66"/>
      <c r="D58" s="65" t="e">
        <f ca="1">IF(C58=E58, HYPERLINK("#'" &amp; VLOOKUP(C58,INDIRECT("HNSW_Summary!$A:$B"),2,0) &amp; "'!A1", "}"), "}")</f>
        <v>#N/A</v>
      </c>
      <c r="E58" s="64" t="e">
        <f ca="1">VLOOKUP(C58,INDIRECT("HNSW_Summary!$A:$B"),1,0)</f>
        <v>#N/A</v>
      </c>
      <c r="F58" s="63" t="str">
        <f ca="1">IFERROR(INDEX(INDIRECT("HNSW_Summary!A:Z"),MATCH(C58,INDIRECT("HNSW_Summary!A:A"), 0),MATCH("Director",INDIRECT("HNSW_Summary!1:1"),0)),"")</f>
        <v/>
      </c>
      <c r="G58" s="63">
        <f ca="1">SUMIF(INDIRECT("HNSW_Summary!A:A"),C58,INDEX(INDIRECT("HNSW_Summary!A:Z"),0,MATCH("OpBalance",INDIRECT("HNSW_Summary!1:1"),0)))</f>
        <v>0</v>
      </c>
      <c r="H58" s="63">
        <f ca="1">SUMIF(INDIRECT("HNSW_Summary!A:A"),C58,INDEX(INDIRECT("HNSW_Summary!A:Z"),0,MATCH("Repayments",INDIRECT("HNSW_Summary!1:1"),0)))</f>
        <v>0</v>
      </c>
      <c r="I58" s="63">
        <f ca="1">SUMIF(INDIRECT("HNSW_Summary!A:A"),C58,INDEX(INDIRECT("HNSW_Summary!A:Z"),0,MATCH("Interest",INDIRECT("HNSW_Summary!1:1"),0)))</f>
        <v>0</v>
      </c>
      <c r="J58" s="63">
        <f ca="1">SUMIF(INDIRECT("HNSW_Summary!A:A"),C58,INDEX(INDIRECT("HNSW_Summary!A:Z"),0,MATCH("ClBalance",INDIRECT("HNSW_Summary!1:1"),0)))</f>
        <v>0</v>
      </c>
      <c r="K58" s="35"/>
      <c r="L58" s="63">
        <f ca="1">SUMIF(INDIRECT("HNSW_Summary!A:A"),C58,INDEX(INDIRECT("HNSW_Summary!A:Z"),0,MATCH("MinRepayments",INDIRECT("HNSW_Summary!1:1"),0)))</f>
        <v>0</v>
      </c>
      <c r="M58" s="63">
        <f ca="1">SUMIF(INDIRECT("HNSW_Summary!A:A"),C58,INDEX(INDIRECT("HNSW_Summary!A:Z"),0,MATCH("UnderOver",INDIRECT("HNSW_Summary!1:1"),0)))</f>
        <v>0</v>
      </c>
      <c r="N58" s="32"/>
      <c r="P58" s="31"/>
      <c r="Q58" s="30"/>
      <c r="V58" s="23" t="b">
        <f>IF(D03_Number_of_Loans&gt;=42,FALSE,TRUE)</f>
        <v>1</v>
      </c>
    </row>
    <row r="59" spans="2:22" ht="17.25" hidden="1" customHeight="1">
      <c r="B59" s="36"/>
      <c r="C59" s="66"/>
      <c r="D59" s="65" t="e">
        <f ca="1">IF(C59=E59, HYPERLINK("#'" &amp; VLOOKUP(C59,INDIRECT("HNSW_Summary!$A:$B"),2,0) &amp; "'!A1", "}"), "}")</f>
        <v>#N/A</v>
      </c>
      <c r="E59" s="64" t="e">
        <f ca="1">VLOOKUP(C59,INDIRECT("HNSW_Summary!$A:$B"),1,0)</f>
        <v>#N/A</v>
      </c>
      <c r="F59" s="63" t="str">
        <f ca="1">IFERROR(INDEX(INDIRECT("HNSW_Summary!A:Z"),MATCH(C59,INDIRECT("HNSW_Summary!A:A"), 0),MATCH("Director",INDIRECT("HNSW_Summary!1:1"),0)),"")</f>
        <v/>
      </c>
      <c r="G59" s="63">
        <f ca="1">SUMIF(INDIRECT("HNSW_Summary!A:A"),C59,INDEX(INDIRECT("HNSW_Summary!A:Z"),0,MATCH("OpBalance",INDIRECT("HNSW_Summary!1:1"),0)))</f>
        <v>0</v>
      </c>
      <c r="H59" s="63">
        <f ca="1">SUMIF(INDIRECT("HNSW_Summary!A:A"),C59,INDEX(INDIRECT("HNSW_Summary!A:Z"),0,MATCH("Repayments",INDIRECT("HNSW_Summary!1:1"),0)))</f>
        <v>0</v>
      </c>
      <c r="I59" s="63">
        <f ca="1">SUMIF(INDIRECT("HNSW_Summary!A:A"),C59,INDEX(INDIRECT("HNSW_Summary!A:Z"),0,MATCH("Interest",INDIRECT("HNSW_Summary!1:1"),0)))</f>
        <v>0</v>
      </c>
      <c r="J59" s="63">
        <f ca="1">SUMIF(INDIRECT("HNSW_Summary!A:A"),C59,INDEX(INDIRECT("HNSW_Summary!A:Z"),0,MATCH("ClBalance",INDIRECT("HNSW_Summary!1:1"),0)))</f>
        <v>0</v>
      </c>
      <c r="K59" s="35"/>
      <c r="L59" s="63">
        <f ca="1">SUMIF(INDIRECT("HNSW_Summary!A:A"),C59,INDEX(INDIRECT("HNSW_Summary!A:Z"),0,MATCH("MinRepayments",INDIRECT("HNSW_Summary!1:1"),0)))</f>
        <v>0</v>
      </c>
      <c r="M59" s="63">
        <f ca="1">SUMIF(INDIRECT("HNSW_Summary!A:A"),C59,INDEX(INDIRECT("HNSW_Summary!A:Z"),0,MATCH("UnderOver",INDIRECT("HNSW_Summary!1:1"),0)))</f>
        <v>0</v>
      </c>
      <c r="N59" s="32"/>
      <c r="P59" s="31"/>
      <c r="Q59" s="30"/>
      <c r="V59" s="23" t="b">
        <f>IF(D03_Number_of_Loans&gt;=43,FALSE,TRUE)</f>
        <v>1</v>
      </c>
    </row>
    <row r="60" spans="2:22" ht="17.25" hidden="1" customHeight="1">
      <c r="B60" s="36"/>
      <c r="C60" s="66"/>
      <c r="D60" s="65" t="e">
        <f ca="1">IF(C60=E60, HYPERLINK("#'" &amp; VLOOKUP(C60,INDIRECT("HNSW_Summary!$A:$B"),2,0) &amp; "'!A1", "}"), "}")</f>
        <v>#N/A</v>
      </c>
      <c r="E60" s="64" t="e">
        <f ca="1">VLOOKUP(C60,INDIRECT("HNSW_Summary!$A:$B"),1,0)</f>
        <v>#N/A</v>
      </c>
      <c r="F60" s="63" t="str">
        <f ca="1">IFERROR(INDEX(INDIRECT("HNSW_Summary!A:Z"),MATCH(C60,INDIRECT("HNSW_Summary!A:A"), 0),MATCH("Director",INDIRECT("HNSW_Summary!1:1"),0)),"")</f>
        <v/>
      </c>
      <c r="G60" s="63">
        <f ca="1">SUMIF(INDIRECT("HNSW_Summary!A:A"),C60,INDEX(INDIRECT("HNSW_Summary!A:Z"),0,MATCH("OpBalance",INDIRECT("HNSW_Summary!1:1"),0)))</f>
        <v>0</v>
      </c>
      <c r="H60" s="63">
        <f ca="1">SUMIF(INDIRECT("HNSW_Summary!A:A"),C60,INDEX(INDIRECT("HNSW_Summary!A:Z"),0,MATCH("Repayments",INDIRECT("HNSW_Summary!1:1"),0)))</f>
        <v>0</v>
      </c>
      <c r="I60" s="63">
        <f ca="1">SUMIF(INDIRECT("HNSW_Summary!A:A"),C60,INDEX(INDIRECT("HNSW_Summary!A:Z"),0,MATCH("Interest",INDIRECT("HNSW_Summary!1:1"),0)))</f>
        <v>0</v>
      </c>
      <c r="J60" s="63">
        <f ca="1">SUMIF(INDIRECT("HNSW_Summary!A:A"),C60,INDEX(INDIRECT("HNSW_Summary!A:Z"),0,MATCH("ClBalance",INDIRECT("HNSW_Summary!1:1"),0)))</f>
        <v>0</v>
      </c>
      <c r="K60" s="35"/>
      <c r="L60" s="63">
        <f ca="1">SUMIF(INDIRECT("HNSW_Summary!A:A"),C60,INDEX(INDIRECT("HNSW_Summary!A:Z"),0,MATCH("MinRepayments",INDIRECT("HNSW_Summary!1:1"),0)))</f>
        <v>0</v>
      </c>
      <c r="M60" s="63">
        <f ca="1">SUMIF(INDIRECT("HNSW_Summary!A:A"),C60,INDEX(INDIRECT("HNSW_Summary!A:Z"),0,MATCH("UnderOver",INDIRECT("HNSW_Summary!1:1"),0)))</f>
        <v>0</v>
      </c>
      <c r="N60" s="32"/>
      <c r="P60" s="31"/>
      <c r="Q60" s="30"/>
      <c r="V60" s="23" t="b">
        <f>IF(D03_Number_of_Loans&gt;=44,FALSE,TRUE)</f>
        <v>1</v>
      </c>
    </row>
    <row r="61" spans="2:22" ht="17.25" hidden="1" customHeight="1">
      <c r="B61" s="36"/>
      <c r="C61" s="66"/>
      <c r="D61" s="65" t="e">
        <f ca="1">IF(C61=E61, HYPERLINK("#'" &amp; VLOOKUP(C61,INDIRECT("HNSW_Summary!$A:$B"),2,0) &amp; "'!A1", "}"), "}")</f>
        <v>#N/A</v>
      </c>
      <c r="E61" s="64" t="e">
        <f ca="1">VLOOKUP(C61,INDIRECT("HNSW_Summary!$A:$B"),1,0)</f>
        <v>#N/A</v>
      </c>
      <c r="F61" s="63" t="str">
        <f ca="1">IFERROR(INDEX(INDIRECT("HNSW_Summary!A:Z"),MATCH(C61,INDIRECT("HNSW_Summary!A:A"), 0),MATCH("Director",INDIRECT("HNSW_Summary!1:1"),0)),"")</f>
        <v/>
      </c>
      <c r="G61" s="63">
        <f ca="1">SUMIF(INDIRECT("HNSW_Summary!A:A"),C61,INDEX(INDIRECT("HNSW_Summary!A:Z"),0,MATCH("OpBalance",INDIRECT("HNSW_Summary!1:1"),0)))</f>
        <v>0</v>
      </c>
      <c r="H61" s="63">
        <f ca="1">SUMIF(INDIRECT("HNSW_Summary!A:A"),C61,INDEX(INDIRECT("HNSW_Summary!A:Z"),0,MATCH("Repayments",INDIRECT("HNSW_Summary!1:1"),0)))</f>
        <v>0</v>
      </c>
      <c r="I61" s="63">
        <f ca="1">SUMIF(INDIRECT("HNSW_Summary!A:A"),C61,INDEX(INDIRECT("HNSW_Summary!A:Z"),0,MATCH("Interest",INDIRECT("HNSW_Summary!1:1"),0)))</f>
        <v>0</v>
      </c>
      <c r="J61" s="63">
        <f ca="1">SUMIF(INDIRECT("HNSW_Summary!A:A"),C61,INDEX(INDIRECT("HNSW_Summary!A:Z"),0,MATCH("ClBalance",INDIRECT("HNSW_Summary!1:1"),0)))</f>
        <v>0</v>
      </c>
      <c r="K61" s="35"/>
      <c r="L61" s="63">
        <f ca="1">SUMIF(INDIRECT("HNSW_Summary!A:A"),C61,INDEX(INDIRECT("HNSW_Summary!A:Z"),0,MATCH("MinRepayments",INDIRECT("HNSW_Summary!1:1"),0)))</f>
        <v>0</v>
      </c>
      <c r="M61" s="63">
        <f ca="1">SUMIF(INDIRECT("HNSW_Summary!A:A"),C61,INDEX(INDIRECT("HNSW_Summary!A:Z"),0,MATCH("UnderOver",INDIRECT("HNSW_Summary!1:1"),0)))</f>
        <v>0</v>
      </c>
      <c r="N61" s="32"/>
      <c r="P61" s="31"/>
      <c r="Q61" s="30"/>
      <c r="V61" s="23" t="b">
        <f>IF(D03_Number_of_Loans&gt;=45,FALSE,TRUE)</f>
        <v>1</v>
      </c>
    </row>
    <row r="62" spans="2:22" ht="17.25" hidden="1" customHeight="1">
      <c r="B62" s="36"/>
      <c r="C62" s="66"/>
      <c r="D62" s="65" t="e">
        <f ca="1">IF(C62=E62, HYPERLINK("#'" &amp; VLOOKUP(C62,INDIRECT("HNSW_Summary!$A:$B"),2,0) &amp; "'!A1", "}"), "}")</f>
        <v>#N/A</v>
      </c>
      <c r="E62" s="64" t="e">
        <f ca="1">VLOOKUP(C62,INDIRECT("HNSW_Summary!$A:$B"),1,0)</f>
        <v>#N/A</v>
      </c>
      <c r="F62" s="63" t="str">
        <f ca="1">IFERROR(INDEX(INDIRECT("HNSW_Summary!A:Z"),MATCH(C62,INDIRECT("HNSW_Summary!A:A"), 0),MATCH("Director",INDIRECT("HNSW_Summary!1:1"),0)),"")</f>
        <v/>
      </c>
      <c r="G62" s="63">
        <f ca="1">SUMIF(INDIRECT("HNSW_Summary!A:A"),C62,INDEX(INDIRECT("HNSW_Summary!A:Z"),0,MATCH("OpBalance",INDIRECT("HNSW_Summary!1:1"),0)))</f>
        <v>0</v>
      </c>
      <c r="H62" s="63">
        <f ca="1">SUMIF(INDIRECT("HNSW_Summary!A:A"),C62,INDEX(INDIRECT("HNSW_Summary!A:Z"),0,MATCH("Repayments",INDIRECT("HNSW_Summary!1:1"),0)))</f>
        <v>0</v>
      </c>
      <c r="I62" s="63">
        <f ca="1">SUMIF(INDIRECT("HNSW_Summary!A:A"),C62,INDEX(INDIRECT("HNSW_Summary!A:Z"),0,MATCH("Interest",INDIRECT("HNSW_Summary!1:1"),0)))</f>
        <v>0</v>
      </c>
      <c r="J62" s="63">
        <f ca="1">SUMIF(INDIRECT("HNSW_Summary!A:A"),C62,INDEX(INDIRECT("HNSW_Summary!A:Z"),0,MATCH("ClBalance",INDIRECT("HNSW_Summary!1:1"),0)))</f>
        <v>0</v>
      </c>
      <c r="K62" s="35"/>
      <c r="L62" s="63">
        <f ca="1">SUMIF(INDIRECT("HNSW_Summary!A:A"),C62,INDEX(INDIRECT("HNSW_Summary!A:Z"),0,MATCH("MinRepayments",INDIRECT("HNSW_Summary!1:1"),0)))</f>
        <v>0</v>
      </c>
      <c r="M62" s="63">
        <f ca="1">SUMIF(INDIRECT("HNSW_Summary!A:A"),C62,INDEX(INDIRECT("HNSW_Summary!A:Z"),0,MATCH("UnderOver",INDIRECT("HNSW_Summary!1:1"),0)))</f>
        <v>0</v>
      </c>
      <c r="N62" s="32"/>
      <c r="P62" s="31"/>
      <c r="Q62" s="30"/>
      <c r="V62" s="23" t="b">
        <f>IF(D03_Number_of_Loans&gt;=46,FALSE,TRUE)</f>
        <v>1</v>
      </c>
    </row>
    <row r="63" spans="2:22" ht="17.25" hidden="1" customHeight="1">
      <c r="B63" s="36"/>
      <c r="C63" s="66"/>
      <c r="D63" s="65" t="e">
        <f ca="1">IF(C63=E63, HYPERLINK("#'" &amp; VLOOKUP(C63,INDIRECT("HNSW_Summary!$A:$B"),2,0) &amp; "'!A1", "}"), "}")</f>
        <v>#N/A</v>
      </c>
      <c r="E63" s="64" t="e">
        <f ca="1">VLOOKUP(C63,INDIRECT("HNSW_Summary!$A:$B"),1,0)</f>
        <v>#N/A</v>
      </c>
      <c r="F63" s="63" t="str">
        <f ca="1">IFERROR(INDEX(INDIRECT("HNSW_Summary!A:Z"),MATCH(C63,INDIRECT("HNSW_Summary!A:A"), 0),MATCH("Director",INDIRECT("HNSW_Summary!1:1"),0)),"")</f>
        <v/>
      </c>
      <c r="G63" s="63">
        <f ca="1">SUMIF(INDIRECT("HNSW_Summary!A:A"),C63,INDEX(INDIRECT("HNSW_Summary!A:Z"),0,MATCH("OpBalance",INDIRECT("HNSW_Summary!1:1"),0)))</f>
        <v>0</v>
      </c>
      <c r="H63" s="63">
        <f ca="1">SUMIF(INDIRECT("HNSW_Summary!A:A"),C63,INDEX(INDIRECT("HNSW_Summary!A:Z"),0,MATCH("Repayments",INDIRECT("HNSW_Summary!1:1"),0)))</f>
        <v>0</v>
      </c>
      <c r="I63" s="63">
        <f ca="1">SUMIF(INDIRECT("HNSW_Summary!A:A"),C63,INDEX(INDIRECT("HNSW_Summary!A:Z"),0,MATCH("Interest",INDIRECT("HNSW_Summary!1:1"),0)))</f>
        <v>0</v>
      </c>
      <c r="J63" s="63">
        <f ca="1">SUMIF(INDIRECT("HNSW_Summary!A:A"),C63,INDEX(INDIRECT("HNSW_Summary!A:Z"),0,MATCH("ClBalance",INDIRECT("HNSW_Summary!1:1"),0)))</f>
        <v>0</v>
      </c>
      <c r="K63" s="35"/>
      <c r="L63" s="63">
        <f ca="1">SUMIF(INDIRECT("HNSW_Summary!A:A"),C63,INDEX(INDIRECT("HNSW_Summary!A:Z"),0,MATCH("MinRepayments",INDIRECT("HNSW_Summary!1:1"),0)))</f>
        <v>0</v>
      </c>
      <c r="M63" s="63">
        <f ca="1">SUMIF(INDIRECT("HNSW_Summary!A:A"),C63,INDEX(INDIRECT("HNSW_Summary!A:Z"),0,MATCH("UnderOver",INDIRECT("HNSW_Summary!1:1"),0)))</f>
        <v>0</v>
      </c>
      <c r="N63" s="32"/>
      <c r="P63" s="31"/>
      <c r="Q63" s="30"/>
      <c r="V63" s="23" t="b">
        <f>IF(D03_Number_of_Loans&gt;=47,FALSE,TRUE)</f>
        <v>1</v>
      </c>
    </row>
    <row r="64" spans="2:22" ht="17.25" hidden="1" customHeight="1">
      <c r="B64" s="36"/>
      <c r="C64" s="66"/>
      <c r="D64" s="65" t="e">
        <f ca="1">IF(C64=E64, HYPERLINK("#'" &amp; VLOOKUP(C64,INDIRECT("HNSW_Summary!$A:$B"),2,0) &amp; "'!A1", "}"), "}")</f>
        <v>#N/A</v>
      </c>
      <c r="E64" s="64" t="e">
        <f ca="1">VLOOKUP(C64,INDIRECT("HNSW_Summary!$A:$B"),1,0)</f>
        <v>#N/A</v>
      </c>
      <c r="F64" s="63" t="str">
        <f ca="1">IFERROR(INDEX(INDIRECT("HNSW_Summary!A:Z"),MATCH(C64,INDIRECT("HNSW_Summary!A:A"), 0),MATCH("Director",INDIRECT("HNSW_Summary!1:1"),0)),"")</f>
        <v/>
      </c>
      <c r="G64" s="63">
        <f ca="1">SUMIF(INDIRECT("HNSW_Summary!A:A"),C64,INDEX(INDIRECT("HNSW_Summary!A:Z"),0,MATCH("OpBalance",INDIRECT("HNSW_Summary!1:1"),0)))</f>
        <v>0</v>
      </c>
      <c r="H64" s="63">
        <f ca="1">SUMIF(INDIRECT("HNSW_Summary!A:A"),C64,INDEX(INDIRECT("HNSW_Summary!A:Z"),0,MATCH("Repayments",INDIRECT("HNSW_Summary!1:1"),0)))</f>
        <v>0</v>
      </c>
      <c r="I64" s="63">
        <f ca="1">SUMIF(INDIRECT("HNSW_Summary!A:A"),C64,INDEX(INDIRECT("HNSW_Summary!A:Z"),0,MATCH("Interest",INDIRECT("HNSW_Summary!1:1"),0)))</f>
        <v>0</v>
      </c>
      <c r="J64" s="63">
        <f ca="1">SUMIF(INDIRECT("HNSW_Summary!A:A"),C64,INDEX(INDIRECT("HNSW_Summary!A:Z"),0,MATCH("ClBalance",INDIRECT("HNSW_Summary!1:1"),0)))</f>
        <v>0</v>
      </c>
      <c r="K64" s="35"/>
      <c r="L64" s="63">
        <f ca="1">SUMIF(INDIRECT("HNSW_Summary!A:A"),C64,INDEX(INDIRECT("HNSW_Summary!A:Z"),0,MATCH("MinRepayments",INDIRECT("HNSW_Summary!1:1"),0)))</f>
        <v>0</v>
      </c>
      <c r="M64" s="63">
        <f ca="1">SUMIF(INDIRECT("HNSW_Summary!A:A"),C64,INDEX(INDIRECT("HNSW_Summary!A:Z"),0,MATCH("UnderOver",INDIRECT("HNSW_Summary!1:1"),0)))</f>
        <v>0</v>
      </c>
      <c r="N64" s="32"/>
      <c r="P64" s="31"/>
      <c r="Q64" s="30"/>
      <c r="V64" s="23" t="b">
        <f>IF(D03_Number_of_Loans&gt;=48,FALSE,TRUE)</f>
        <v>1</v>
      </c>
    </row>
    <row r="65" spans="2:22" ht="17.25" hidden="1" customHeight="1">
      <c r="B65" s="36"/>
      <c r="C65" s="66"/>
      <c r="D65" s="65" t="e">
        <f ca="1">IF(C65=E65, HYPERLINK("#'" &amp; VLOOKUP(C65,INDIRECT("HNSW_Summary!$A:$B"),2,0) &amp; "'!A1", "}"), "}")</f>
        <v>#N/A</v>
      </c>
      <c r="E65" s="64" t="e">
        <f ca="1">VLOOKUP(C65,INDIRECT("HNSW_Summary!$A:$B"),1,0)</f>
        <v>#N/A</v>
      </c>
      <c r="F65" s="63" t="str">
        <f ca="1">IFERROR(INDEX(INDIRECT("HNSW_Summary!A:Z"),MATCH(C65,INDIRECT("HNSW_Summary!A:A"), 0),MATCH("Director",INDIRECT("HNSW_Summary!1:1"),0)),"")</f>
        <v/>
      </c>
      <c r="G65" s="63">
        <f ca="1">SUMIF(INDIRECT("HNSW_Summary!A:A"),C65,INDEX(INDIRECT("HNSW_Summary!A:Z"),0,MATCH("OpBalance",INDIRECT("HNSW_Summary!1:1"),0)))</f>
        <v>0</v>
      </c>
      <c r="H65" s="63">
        <f ca="1">SUMIF(INDIRECT("HNSW_Summary!A:A"),C65,INDEX(INDIRECT("HNSW_Summary!A:Z"),0,MATCH("Repayments",INDIRECT("HNSW_Summary!1:1"),0)))</f>
        <v>0</v>
      </c>
      <c r="I65" s="63">
        <f ca="1">SUMIF(INDIRECT("HNSW_Summary!A:A"),C65,INDEX(INDIRECT("HNSW_Summary!A:Z"),0,MATCH("Interest",INDIRECT("HNSW_Summary!1:1"),0)))</f>
        <v>0</v>
      </c>
      <c r="J65" s="63">
        <f ca="1">SUMIF(INDIRECT("HNSW_Summary!A:A"),C65,INDEX(INDIRECT("HNSW_Summary!A:Z"),0,MATCH("ClBalance",INDIRECT("HNSW_Summary!1:1"),0)))</f>
        <v>0</v>
      </c>
      <c r="K65" s="35"/>
      <c r="L65" s="63">
        <f ca="1">SUMIF(INDIRECT("HNSW_Summary!A:A"),C65,INDEX(INDIRECT("HNSW_Summary!A:Z"),0,MATCH("MinRepayments",INDIRECT("HNSW_Summary!1:1"),0)))</f>
        <v>0</v>
      </c>
      <c r="M65" s="63">
        <f ca="1">SUMIF(INDIRECT("HNSW_Summary!A:A"),C65,INDEX(INDIRECT("HNSW_Summary!A:Z"),0,MATCH("UnderOver",INDIRECT("HNSW_Summary!1:1"),0)))</f>
        <v>0</v>
      </c>
      <c r="N65" s="32"/>
      <c r="P65" s="31"/>
      <c r="Q65" s="30"/>
      <c r="V65" s="23" t="b">
        <f>IF(D03_Number_of_Loans&gt;=49,FALSE,TRUE)</f>
        <v>1</v>
      </c>
    </row>
    <row r="66" spans="2:22" ht="17.25" hidden="1" customHeight="1">
      <c r="B66" s="36"/>
      <c r="C66" s="66"/>
      <c r="D66" s="65" t="e">
        <f ca="1">IF(C66=E66, HYPERLINK("#'" &amp; VLOOKUP(C66,INDIRECT("HNSW_Summary!$A:$B"),2,0) &amp; "'!A1", "}"), "}")</f>
        <v>#N/A</v>
      </c>
      <c r="E66" s="64" t="e">
        <f ca="1">VLOOKUP(C66,INDIRECT("HNSW_Summary!$A:$B"),1,0)</f>
        <v>#N/A</v>
      </c>
      <c r="F66" s="63" t="str">
        <f ca="1">IFERROR(INDEX(INDIRECT("HNSW_Summary!A:Z"),MATCH(C66,INDIRECT("HNSW_Summary!A:A"), 0),MATCH("Director",INDIRECT("HNSW_Summary!1:1"),0)),"")</f>
        <v/>
      </c>
      <c r="G66" s="63">
        <f ca="1">SUMIF(INDIRECT("HNSW_Summary!A:A"),C66,INDEX(INDIRECT("HNSW_Summary!A:Z"),0,MATCH("OpBalance",INDIRECT("HNSW_Summary!1:1"),0)))</f>
        <v>0</v>
      </c>
      <c r="H66" s="63">
        <f ca="1">SUMIF(INDIRECT("HNSW_Summary!A:A"),C66,INDEX(INDIRECT("HNSW_Summary!A:Z"),0,MATCH("Repayments",INDIRECT("HNSW_Summary!1:1"),0)))</f>
        <v>0</v>
      </c>
      <c r="I66" s="63">
        <f ca="1">SUMIF(INDIRECT("HNSW_Summary!A:A"),C66,INDEX(INDIRECT("HNSW_Summary!A:Z"),0,MATCH("Interest",INDIRECT("HNSW_Summary!1:1"),0)))</f>
        <v>0</v>
      </c>
      <c r="J66" s="63">
        <f ca="1">SUMIF(INDIRECT("HNSW_Summary!A:A"),C66,INDEX(INDIRECT("HNSW_Summary!A:Z"),0,MATCH("ClBalance",INDIRECT("HNSW_Summary!1:1"),0)))</f>
        <v>0</v>
      </c>
      <c r="K66" s="35"/>
      <c r="L66" s="63">
        <f ca="1">SUMIF(INDIRECT("HNSW_Summary!A:A"),C66,INDEX(INDIRECT("HNSW_Summary!A:Z"),0,MATCH("MinRepayments",INDIRECT("HNSW_Summary!1:1"),0)))</f>
        <v>0</v>
      </c>
      <c r="M66" s="63">
        <f ca="1">SUMIF(INDIRECT("HNSW_Summary!A:A"),C66,INDEX(INDIRECT("HNSW_Summary!A:Z"),0,MATCH("UnderOver",INDIRECT("HNSW_Summary!1:1"),0)))</f>
        <v>0</v>
      </c>
      <c r="N66" s="32"/>
      <c r="P66" s="31"/>
      <c r="Q66" s="30"/>
      <c r="V66" s="23" t="b">
        <f>IF(D03_Number_of_Loans&gt;=50,FALSE,TRUE)</f>
        <v>1</v>
      </c>
    </row>
    <row r="67" spans="2:22" ht="7.5" customHeight="1">
      <c r="B67" s="62"/>
      <c r="C67" s="61"/>
      <c r="D67" s="60"/>
      <c r="E67" s="60"/>
      <c r="F67" s="60"/>
      <c r="G67" s="60"/>
      <c r="H67" s="60"/>
      <c r="I67" s="60"/>
      <c r="J67" s="60"/>
      <c r="K67" s="60"/>
      <c r="L67" s="60"/>
      <c r="M67" s="60"/>
      <c r="N67" s="59"/>
    </row>
    <row r="68" spans="2:22" ht="22.5" customHeight="1">
      <c r="C68" s="58"/>
      <c r="D68" s="35"/>
      <c r="E68" s="35"/>
      <c r="F68" s="35"/>
      <c r="G68" s="35"/>
      <c r="H68" s="35"/>
      <c r="I68" s="35"/>
      <c r="J68" s="35"/>
      <c r="K68" s="35"/>
      <c r="L68" s="35"/>
      <c r="M68" s="35"/>
    </row>
    <row r="69" spans="2:22" ht="22.5" customHeight="1">
      <c r="B69" s="46" t="s">
        <v>96</v>
      </c>
      <c r="C69" s="45"/>
      <c r="D69" s="44"/>
      <c r="H69" s="47" t="s">
        <v>95</v>
      </c>
      <c r="I69" s="47"/>
      <c r="J69" s="49"/>
      <c r="K69" s="47"/>
      <c r="L69" s="47"/>
      <c r="M69" s="47"/>
    </row>
    <row r="70" spans="2:22" ht="7.5" customHeight="1">
      <c r="B70" s="43"/>
      <c r="C70" s="42"/>
      <c r="D70" s="47"/>
      <c r="E70" s="57"/>
      <c r="F70" s="57"/>
      <c r="G70" s="56"/>
      <c r="H70" s="56"/>
      <c r="I70" s="56"/>
      <c r="J70" s="47"/>
      <c r="K70" s="56"/>
      <c r="L70" s="56"/>
      <c r="M70" s="56"/>
      <c r="N70" s="39"/>
    </row>
    <row r="71" spans="2:22" ht="22.5" customHeight="1">
      <c r="B71" s="43"/>
      <c r="C71" s="42"/>
      <c r="D71" s="47"/>
      <c r="E71" s="47"/>
      <c r="F71" s="47"/>
      <c r="H71" s="47"/>
      <c r="I71" s="55" t="s">
        <v>94</v>
      </c>
      <c r="J71" s="54">
        <v>1</v>
      </c>
      <c r="K71" s="47"/>
      <c r="L71" s="53" t="s">
        <v>93</v>
      </c>
      <c r="M71" s="52"/>
      <c r="N71" s="32"/>
      <c r="P71" s="23"/>
    </row>
    <row r="72" spans="2:22" ht="7.5" customHeight="1">
      <c r="B72" s="43"/>
      <c r="C72" s="42"/>
      <c r="D72" s="47"/>
      <c r="E72" s="47"/>
      <c r="F72" s="47"/>
      <c r="G72" s="47"/>
      <c r="H72" s="47"/>
      <c r="I72" s="47"/>
      <c r="J72" s="47"/>
      <c r="K72" s="47"/>
      <c r="L72" s="47"/>
      <c r="M72" s="47"/>
      <c r="N72" s="32"/>
    </row>
    <row r="73" spans="2:22" ht="16.899999999999999" customHeight="1">
      <c r="B73" s="36"/>
      <c r="C73" s="51" t="str" cm="1">
        <f t="array" aca="1" ref="C73:C74" ca="1">IFERROR(_xlfn.UNIQUE(F17:F66),"")</f>
        <v>Director A</v>
      </c>
      <c r="D73" s="47"/>
      <c r="E73" s="47"/>
      <c r="F73" s="47"/>
      <c r="G73" s="38">
        <f ca="1">SUMIF($F$17:$F$67,$C73,INDEX(INDIRECT("A17:M66"),0,MATCH("Opening Balance",INDIRECT("15:15"),0)))</f>
        <v>10000</v>
      </c>
      <c r="H73" s="38">
        <f ca="1">SUMIF($F$17:$F$67,$C73,INDEX(INDIRECT("A17:M66"),0,MATCH("Actual Payments",INDIRECT("15:15"),0)))</f>
        <v>0</v>
      </c>
      <c r="I73" s="38">
        <f ca="1">SUMIF($F$17:$F$67,$C73,INDEX(INDIRECT("A17:M66"),0,MATCH("Interest",INDIRECT("15:15"),0)))</f>
        <v>827</v>
      </c>
      <c r="J73" s="50">
        <f ca="1">SUMIF($F$17:$F$67,$C73,INDEX(INDIRECT("A17:M66"),0,MATCH("Closing Balance",INDIRECT("15:15"),0)))</f>
        <v>10827</v>
      </c>
      <c r="K73" s="33"/>
      <c r="L73" s="33"/>
      <c r="M73" s="33"/>
      <c r="N73" s="32"/>
      <c r="P73" s="31"/>
      <c r="Q73" s="30"/>
      <c r="V73" s="23" t="b">
        <f>IF(D03_Number_of_Directors&gt;=1,FALSE,TRUE)</f>
        <v>0</v>
      </c>
    </row>
    <row r="74" spans="2:22" ht="16.899999999999999" hidden="1" customHeight="1">
      <c r="B74" s="36"/>
      <c r="C74" s="37" t="str">
        <f ca="1"/>
        <v/>
      </c>
      <c r="D74" s="47"/>
      <c r="E74" s="47"/>
      <c r="F74" s="47"/>
      <c r="G74" s="38">
        <f ca="1">SUMIF($F$17:$F$67,$C74,INDEX(INDIRECT("A17:M66"),0,MATCH("Opening Balance",INDIRECT("15:15"),0)))</f>
        <v>0</v>
      </c>
      <c r="H74" s="38">
        <f ca="1">SUMIF($F$17:$F$67,$C74,INDEX(INDIRECT("A17:M66"),0,MATCH("Actual Payments",INDIRECT("15:15"),0)))</f>
        <v>0</v>
      </c>
      <c r="I74" s="38">
        <f ca="1">SUMIF($F$17:$F$67,$C74,INDEX(INDIRECT("A17:M66"),0,MATCH("Interest",INDIRECT("15:15"),0)))</f>
        <v>0</v>
      </c>
      <c r="J74" s="50">
        <f ca="1">SUMIF($F$17:$F$67,$C74,INDEX(INDIRECT("A17:M66"),0,MATCH("Closing Balance",INDIRECT("15:15"),0)))</f>
        <v>0</v>
      </c>
      <c r="K74" s="33"/>
      <c r="L74" s="33"/>
      <c r="M74" s="33"/>
      <c r="N74" s="32"/>
      <c r="P74" s="31"/>
      <c r="Q74" s="30"/>
      <c r="V74" s="23" t="b">
        <f>IF(D03_Number_of_Directors&gt;=2,FALSE,TRUE)</f>
        <v>1</v>
      </c>
    </row>
    <row r="75" spans="2:22" ht="16.899999999999999" hidden="1" customHeight="1">
      <c r="B75" s="36"/>
      <c r="C75" s="37"/>
      <c r="D75" s="47"/>
      <c r="E75" s="47"/>
      <c r="F75" s="47"/>
      <c r="G75" s="38">
        <f ca="1">SUMIF($F$17:$F$67,$C75,INDEX(INDIRECT("A17:M66"),0,MATCH("Opening Balance",INDIRECT("15:15"),0)))</f>
        <v>0</v>
      </c>
      <c r="H75" s="38">
        <f ca="1">SUMIF($F$17:$F$67,$C75,INDEX(INDIRECT("A17:M66"),0,MATCH("Actual Payments",INDIRECT("15:15"),0)))</f>
        <v>0</v>
      </c>
      <c r="I75" s="38">
        <f ca="1">SUMIF($F$17:$F$67,$C75,INDEX(INDIRECT("A17:M66"),0,MATCH("Interest",INDIRECT("15:15"),0)))</f>
        <v>0</v>
      </c>
      <c r="J75" s="50">
        <f ca="1">SUMIF($F$17:$F$67,$C75,INDEX(INDIRECT("A17:M66"),0,MATCH("Closing Balance",INDIRECT("15:15"),0)))</f>
        <v>0</v>
      </c>
      <c r="K75" s="33"/>
      <c r="L75" s="33"/>
      <c r="M75" s="33"/>
      <c r="N75" s="32"/>
      <c r="P75" s="31"/>
      <c r="Q75" s="30"/>
      <c r="V75" s="23" t="b">
        <f>IF(D03_Number_of_Directors&gt;=3,FALSE,TRUE)</f>
        <v>1</v>
      </c>
    </row>
    <row r="76" spans="2:22" ht="16.899999999999999" hidden="1" customHeight="1">
      <c r="B76" s="36"/>
      <c r="C76" s="37"/>
      <c r="D76" s="47"/>
      <c r="E76" s="47"/>
      <c r="F76" s="47"/>
      <c r="G76" s="38">
        <f ca="1">SUMIF($F$17:$F$67,$C76,INDEX(INDIRECT("A17:M66"),0,MATCH("Opening Balance",INDIRECT("15:15"),0)))</f>
        <v>0</v>
      </c>
      <c r="H76" s="38">
        <f ca="1">SUMIF($F$17:$F$67,$C76,INDEX(INDIRECT("A17:M66"),0,MATCH("Actual Payments",INDIRECT("15:15"),0)))</f>
        <v>0</v>
      </c>
      <c r="I76" s="38">
        <f ca="1">SUMIF($F$17:$F$67,$C76,INDEX(INDIRECT("A17:M66"),0,MATCH("Interest",INDIRECT("15:15"),0)))</f>
        <v>0</v>
      </c>
      <c r="J76" s="50">
        <f ca="1">SUMIF($F$17:$F$67,$C76,INDEX(INDIRECT("A17:M66"),0,MATCH("Closing Balance",INDIRECT("15:15"),0)))</f>
        <v>0</v>
      </c>
      <c r="K76" s="33"/>
      <c r="L76" s="33"/>
      <c r="M76" s="33"/>
      <c r="N76" s="32"/>
      <c r="P76" s="31"/>
      <c r="Q76" s="30"/>
      <c r="V76" s="23" t="b">
        <f>IF(D03_Number_of_Directors&gt;=4,FALSE,TRUE)</f>
        <v>1</v>
      </c>
    </row>
    <row r="77" spans="2:22" ht="16.899999999999999" hidden="1" customHeight="1">
      <c r="B77" s="36"/>
      <c r="C77" s="37"/>
      <c r="D77" s="47"/>
      <c r="E77" s="47"/>
      <c r="F77" s="47"/>
      <c r="G77" s="38">
        <f ca="1">SUMIF($F$17:$F$67,$C77,INDEX(INDIRECT("A17:M66"),0,MATCH("Opening Balance",INDIRECT("15:15"),0)))</f>
        <v>0</v>
      </c>
      <c r="H77" s="38">
        <f ca="1">SUMIF($F$17:$F$67,$C77,INDEX(INDIRECT("A17:M66"),0,MATCH("Actual Payments",INDIRECT("15:15"),0)))</f>
        <v>0</v>
      </c>
      <c r="I77" s="38">
        <f ca="1">SUMIF($F$17:$F$67,$C77,INDEX(INDIRECT("A17:M66"),0,MATCH("Interest",INDIRECT("15:15"),0)))</f>
        <v>0</v>
      </c>
      <c r="J77" s="50">
        <f ca="1">SUMIF($F$17:$F$67,$C77,INDEX(INDIRECT("A17:M66"),0,MATCH("Closing Balance",INDIRECT("15:15"),0)))</f>
        <v>0</v>
      </c>
      <c r="K77" s="33"/>
      <c r="L77" s="33"/>
      <c r="M77" s="33"/>
      <c r="N77" s="32"/>
      <c r="P77" s="31"/>
      <c r="Q77" s="30"/>
      <c r="V77" s="23" t="b">
        <f>IF(D03_Number_of_Directors&gt;=5,FALSE,TRUE)</f>
        <v>1</v>
      </c>
    </row>
    <row r="78" spans="2:22" ht="16.899999999999999" hidden="1" customHeight="1">
      <c r="B78" s="36"/>
      <c r="C78" s="37"/>
      <c r="D78" s="47"/>
      <c r="E78" s="47"/>
      <c r="F78" s="47"/>
      <c r="G78" s="38">
        <f ca="1">SUMIF($F$17:$F$67,$C78,INDEX(INDIRECT("A17:M66"),0,MATCH("Opening Balance",INDIRECT("15:15"),0)))</f>
        <v>0</v>
      </c>
      <c r="H78" s="38">
        <f ca="1">SUMIF($F$17:$F$67,$C78,INDEX(INDIRECT("A17:M66"),0,MATCH("Actual Payments",INDIRECT("15:15"),0)))</f>
        <v>0</v>
      </c>
      <c r="I78" s="38">
        <f ca="1">SUMIF($F$17:$F$67,$C78,INDEX(INDIRECT("A17:M66"),0,MATCH("Interest",INDIRECT("15:15"),0)))</f>
        <v>0</v>
      </c>
      <c r="J78" s="50">
        <f ca="1">SUMIF($F$17:$F$67,$C78,INDEX(INDIRECT("A17:M66"),0,MATCH("Closing Balance",INDIRECT("15:15"),0)))</f>
        <v>0</v>
      </c>
      <c r="K78" s="33"/>
      <c r="L78" s="33"/>
      <c r="M78" s="33"/>
      <c r="N78" s="32"/>
      <c r="P78" s="31"/>
      <c r="Q78" s="30"/>
      <c r="V78" s="23" t="b">
        <f>IF(D03_Number_of_Directors&gt;=6,FALSE,TRUE)</f>
        <v>1</v>
      </c>
    </row>
    <row r="79" spans="2:22" ht="16.899999999999999" hidden="1" customHeight="1">
      <c r="B79" s="36"/>
      <c r="C79" s="37"/>
      <c r="D79" s="47"/>
      <c r="E79" s="47"/>
      <c r="F79" s="47"/>
      <c r="G79" s="38">
        <f ca="1">SUMIF($F$17:$F$67,$C79,INDEX(INDIRECT("A17:M66"),0,MATCH("Opening Balance",INDIRECT("15:15"),0)))</f>
        <v>0</v>
      </c>
      <c r="H79" s="38">
        <f ca="1">SUMIF($F$17:$F$67,$C79,INDEX(INDIRECT("A17:M66"),0,MATCH("Actual Payments",INDIRECT("15:15"),0)))</f>
        <v>0</v>
      </c>
      <c r="I79" s="38">
        <f ca="1">SUMIF($F$17:$F$67,$C79,INDEX(INDIRECT("A17:M66"),0,MATCH("Interest",INDIRECT("15:15"),0)))</f>
        <v>0</v>
      </c>
      <c r="J79" s="50">
        <f ca="1">SUMIF($F$17:$F$67,$C79,INDEX(INDIRECT("A17:M66"),0,MATCH("Closing Balance",INDIRECT("15:15"),0)))</f>
        <v>0</v>
      </c>
      <c r="K79" s="33"/>
      <c r="L79" s="33"/>
      <c r="M79" s="33"/>
      <c r="N79" s="32"/>
      <c r="P79" s="31"/>
      <c r="Q79" s="30"/>
      <c r="V79" s="23" t="b">
        <f>IF(D03_Number_of_Directors&gt;=7,FALSE,TRUE)</f>
        <v>1</v>
      </c>
    </row>
    <row r="80" spans="2:22" ht="16.899999999999999" hidden="1" customHeight="1">
      <c r="B80" s="36"/>
      <c r="C80" s="37"/>
      <c r="D80" s="47"/>
      <c r="E80" s="47"/>
      <c r="F80" s="47"/>
      <c r="G80" s="38">
        <f ca="1">SUMIF($F$17:$F$67,$C80,INDEX(INDIRECT("A17:M66"),0,MATCH("Opening Balance",INDIRECT("15:15"),0)))</f>
        <v>0</v>
      </c>
      <c r="H80" s="38">
        <f ca="1">SUMIF($F$17:$F$67,$C80,INDEX(INDIRECT("A17:M66"),0,MATCH("Actual Payments",INDIRECT("15:15"),0)))</f>
        <v>0</v>
      </c>
      <c r="I80" s="38">
        <f ca="1">SUMIF($F$17:$F$67,$C80,INDEX(INDIRECT("A17:M66"),0,MATCH("Interest",INDIRECT("15:15"),0)))</f>
        <v>0</v>
      </c>
      <c r="J80" s="50">
        <f ca="1">SUMIF($F$17:$F$67,$C80,INDEX(INDIRECT("A17:M66"),0,MATCH("Closing Balance",INDIRECT("15:15"),0)))</f>
        <v>0</v>
      </c>
      <c r="K80" s="33"/>
      <c r="L80" s="33"/>
      <c r="M80" s="33"/>
      <c r="N80" s="32"/>
      <c r="P80" s="31"/>
      <c r="Q80" s="30"/>
      <c r="V80" s="23" t="b">
        <f>IF(D03_Number_of_Directors&gt;=8,FALSE,TRUE)</f>
        <v>1</v>
      </c>
    </row>
    <row r="81" spans="2:22" ht="16.899999999999999" hidden="1" customHeight="1">
      <c r="B81" s="36"/>
      <c r="C81" s="37"/>
      <c r="D81" s="47"/>
      <c r="E81" s="47"/>
      <c r="F81" s="47"/>
      <c r="G81" s="38">
        <f ca="1">SUMIF($F$17:$F$67,$C81,INDEX(INDIRECT("A17:M66"),0,MATCH("Opening Balance",INDIRECT("15:15"),0)))</f>
        <v>0</v>
      </c>
      <c r="H81" s="38">
        <f ca="1">SUMIF($F$17:$F$67,$C81,INDEX(INDIRECT("A17:M66"),0,MATCH("Actual Payments",INDIRECT("15:15"),0)))</f>
        <v>0</v>
      </c>
      <c r="I81" s="38">
        <f ca="1">SUMIF($F$17:$F$67,$C81,INDEX(INDIRECT("A17:M66"),0,MATCH("Interest",INDIRECT("15:15"),0)))</f>
        <v>0</v>
      </c>
      <c r="J81" s="50">
        <f ca="1">SUMIF($F$17:$F$67,$C81,INDEX(INDIRECT("A17:M66"),0,MATCH("Closing Balance",INDIRECT("15:15"),0)))</f>
        <v>0</v>
      </c>
      <c r="K81" s="33"/>
      <c r="L81" s="33"/>
      <c r="M81" s="33"/>
      <c r="N81" s="32"/>
      <c r="P81" s="31"/>
      <c r="Q81" s="30"/>
      <c r="V81" s="23" t="b">
        <f>IF(D03_Number_of_Directors&gt;=9,FALSE,TRUE)</f>
        <v>1</v>
      </c>
    </row>
    <row r="82" spans="2:22" ht="16.899999999999999" hidden="1" customHeight="1">
      <c r="B82" s="36"/>
      <c r="C82" s="37"/>
      <c r="D82" s="47"/>
      <c r="E82" s="47"/>
      <c r="F82" s="47"/>
      <c r="G82" s="38">
        <f ca="1">SUMIF($F$17:$F$67,$C82,INDEX(INDIRECT("A17:M66"),0,MATCH("Opening Balance",INDIRECT("15:15"),0)))</f>
        <v>0</v>
      </c>
      <c r="H82" s="38">
        <f ca="1">SUMIF($F$17:$F$67,$C82,INDEX(INDIRECT("A17:M66"),0,MATCH("Actual Payments",INDIRECT("15:15"),0)))</f>
        <v>0</v>
      </c>
      <c r="I82" s="38">
        <f ca="1">SUMIF($F$17:$F$67,$C82,INDEX(INDIRECT("A17:M66"),0,MATCH("Interest",INDIRECT("15:15"),0)))</f>
        <v>0</v>
      </c>
      <c r="J82" s="50">
        <f ca="1">SUMIF($F$17:$F$67,$C82,INDEX(INDIRECT("A17:M66"),0,MATCH("Closing Balance",INDIRECT("15:15"),0)))</f>
        <v>0</v>
      </c>
      <c r="K82" s="33"/>
      <c r="L82" s="33"/>
      <c r="M82" s="33"/>
      <c r="N82" s="32"/>
      <c r="P82" s="31"/>
      <c r="Q82" s="30"/>
      <c r="V82" s="23" t="b">
        <f>IF(D03_Number_of_Directors&gt;=10,FALSE,TRUE)</f>
        <v>1</v>
      </c>
    </row>
    <row r="83" spans="2:22" ht="7.5" customHeight="1">
      <c r="B83" s="29"/>
      <c r="C83" s="27"/>
      <c r="D83" s="49"/>
      <c r="E83" s="49"/>
      <c r="F83" s="49"/>
      <c r="G83" s="27"/>
      <c r="H83" s="27"/>
      <c r="I83" s="27"/>
      <c r="J83" s="27"/>
      <c r="K83" s="27"/>
      <c r="L83" s="27"/>
      <c r="M83" s="27"/>
      <c r="N83" s="26"/>
    </row>
    <row r="84" spans="2:22" ht="22.5" customHeight="1">
      <c r="B84" s="33"/>
      <c r="C84" s="48"/>
      <c r="D84" s="47"/>
      <c r="E84" s="47"/>
      <c r="F84" s="47"/>
      <c r="G84" s="47"/>
      <c r="H84" s="47"/>
      <c r="I84" s="47"/>
      <c r="J84" s="47"/>
      <c r="K84" s="47"/>
      <c r="L84" s="47"/>
      <c r="M84" s="47"/>
    </row>
    <row r="85" spans="2:22" ht="22.5" customHeight="1">
      <c r="B85" s="46" t="s">
        <v>92</v>
      </c>
      <c r="C85" s="45"/>
      <c r="D85" s="44"/>
      <c r="G85" s="35"/>
      <c r="H85" s="35"/>
      <c r="I85" s="35"/>
      <c r="J85" s="35"/>
      <c r="K85" s="35"/>
      <c r="L85" s="35"/>
      <c r="M85" s="35"/>
    </row>
    <row r="86" spans="2:22" ht="7.5" customHeight="1">
      <c r="B86" s="43"/>
      <c r="C86" s="42"/>
      <c r="D86" s="35"/>
      <c r="E86" s="41"/>
      <c r="F86" s="41"/>
      <c r="G86" s="40"/>
      <c r="H86" s="40"/>
      <c r="I86" s="40"/>
      <c r="J86" s="40"/>
      <c r="K86" s="40"/>
      <c r="L86" s="40"/>
      <c r="M86" s="40"/>
      <c r="N86" s="39"/>
    </row>
    <row r="87" spans="2:22" ht="17.25" customHeight="1">
      <c r="B87" s="36"/>
      <c r="C87" s="37" t="s">
        <v>91</v>
      </c>
      <c r="D87" s="35"/>
      <c r="E87" s="35"/>
      <c r="F87" s="35"/>
      <c r="G87" s="38">
        <f ca="1">SUMIF(INDEX(INDIRECT("HNSW_Summary!A:Z"), 0, MATCH("TemplateId", INDIRECT("HNSW_Summary!1:1"), 0)), "5843ca72-ff96-4333-a63b-a8c3ea30f161", INDEX(INDIRECT("HNSW_Summary!A:Z"), 0, MATCH("OpBalance", INDIRECT("HNSW_Summary!1:1"), 0)))</f>
        <v>10000</v>
      </c>
      <c r="H87" s="38">
        <f ca="1">SUMIF(INDEX(INDIRECT("HNSW_Summary!A:Z"), 0, MATCH("TemplateId", INDIRECT("HNSW_Summary!1:1"), 0)), "5843ca72-ff96-4333-a63b-a8c3ea30f161", INDEX(INDIRECT("HNSW_Summary!A:Z"), 0, MATCH("Repayments", INDIRECT("HNSW_Summary!1:1"), 0)))</f>
        <v>0</v>
      </c>
      <c r="I87" s="38">
        <f ca="1">SUMIF(INDEX(INDIRECT("HNSW_Summary!A:Z"), 0, MATCH("TemplateId", INDIRECT("HNSW_Summary!1:1"), 0)), "5843ca72-ff96-4333-a63b-a8c3ea30f161", INDEX(INDIRECT("HNSW_Summary!A:Z"), 0, MATCH("Interest", INDIRECT("HNSW_Summary!1:1"), 0)))</f>
        <v>827</v>
      </c>
      <c r="J87" s="38">
        <f ca="1">SUMIF(INDEX(INDIRECT("HNSW_Summary!A:Z"), 0, MATCH("TemplateId", INDIRECT("HNSW_Summary!1:1"), 0)), "5843ca72-ff96-4333-a63b-a8c3ea30f161", INDEX(INDIRECT("HNSW_Summary!A:Z"), 0, MATCH("ClBalance", INDIRECT("HNSW_Summary!1:1"), 0)))</f>
        <v>10827</v>
      </c>
      <c r="K87" s="33"/>
      <c r="L87" s="33"/>
      <c r="M87" s="33"/>
      <c r="N87" s="32"/>
      <c r="P87" s="31"/>
      <c r="Q87" s="30"/>
    </row>
    <row r="88" spans="2:22" ht="17.25" customHeight="1">
      <c r="B88" s="36"/>
      <c r="C88" s="37" t="s">
        <v>90</v>
      </c>
      <c r="D88" s="35"/>
      <c r="E88" s="35"/>
      <c r="F88" s="35"/>
      <c r="G88" s="38">
        <f ca="1">SUMIF(INDEX(INDIRECT("HNSW_Summary!A:Z"), 0, MATCH("TemplateId", INDIRECT("HNSW_Summary!1:1"), 0)), "7668b802-3f9b-4d52-bd4e-592cd4b27494", INDEX(INDIRECT("HNSW_Summary!A:Z"), 0, MATCH("OpBalance", INDIRECT("HNSW_Summary!1:1"), 0)))</f>
        <v>0</v>
      </c>
      <c r="H88" s="38">
        <f ca="1">SUMIF(INDEX(INDIRECT("HNSW_Summary!A:Z"), 0, MATCH("TemplateId", INDIRECT("HNSW_Summary!1:1"), 0)), "7668b802-3f9b-4d52-bd4e-592cd4b27494", INDEX(INDIRECT("HNSW_Summary!A:Z"), 0, MATCH("Repayments", INDIRECT("HNSW_Summary!1:1"), 0)))</f>
        <v>0</v>
      </c>
      <c r="I88" s="38">
        <f ca="1">SUMIF(INDEX(INDIRECT("HNSW_Summary!A:Z"), 0, MATCH("TemplateId", INDIRECT("HNSW_Summary!1:1"), 0)), "7668b802-3f9b-4d52-bd4e-592cd4b27494", INDEX(INDIRECT("HNSW_Summary!A:Z"), 0, MATCH("Interest", INDIRECT("HNSW_Summary!1:1"), 0)))</f>
        <v>0</v>
      </c>
      <c r="J88" s="38">
        <f ca="1">SUMIF(INDEX(INDIRECT("HNSW_Summary!A:Z"), 0, MATCH("TemplateId", INDIRECT("HNSW_Summary!1:1"), 0)), "7668b802-3f9b-4d52-bd4e-592cd4b27494", INDEX(INDIRECT("HNSW_Summary!A:Z"), 0, MATCH("ClBalance", INDIRECT("HNSW_Summary!1:1"), 0)))</f>
        <v>0</v>
      </c>
      <c r="K88" s="33"/>
      <c r="L88" s="33"/>
      <c r="M88" s="33"/>
      <c r="N88" s="32"/>
      <c r="P88" s="31"/>
      <c r="Q88" s="30"/>
    </row>
    <row r="89" spans="2:22" ht="7.5" customHeight="1">
      <c r="B89" s="36"/>
      <c r="C89" s="37"/>
      <c r="D89" s="35"/>
      <c r="E89" s="35"/>
      <c r="F89" s="35"/>
      <c r="K89" s="33"/>
      <c r="L89" s="33"/>
      <c r="M89" s="33"/>
      <c r="N89" s="32"/>
    </row>
    <row r="90" spans="2:22" ht="17.25" customHeight="1">
      <c r="B90" s="36"/>
      <c r="C90" s="25" t="s">
        <v>89</v>
      </c>
      <c r="D90" s="35"/>
      <c r="E90" s="35"/>
      <c r="F90" s="35"/>
      <c r="G90" s="34">
        <f ca="1">SUM(G87:G88)</f>
        <v>10000</v>
      </c>
      <c r="H90" s="34">
        <f ca="1">SUM(H87:H88)</f>
        <v>0</v>
      </c>
      <c r="I90" s="34">
        <f ca="1">SUM(I87:I88)</f>
        <v>827</v>
      </c>
      <c r="J90" s="34">
        <f ca="1">SUM(J87:J88)</f>
        <v>10827</v>
      </c>
      <c r="K90" s="33"/>
      <c r="L90" s="33"/>
      <c r="M90" s="33"/>
      <c r="N90" s="32"/>
      <c r="P90" s="31"/>
      <c r="Q90" s="30"/>
    </row>
    <row r="91" spans="2:22" ht="7.5" customHeight="1">
      <c r="B91" s="29"/>
      <c r="C91" s="27"/>
      <c r="D91" s="28"/>
      <c r="E91" s="28"/>
      <c r="F91" s="28"/>
      <c r="G91" s="27"/>
      <c r="H91" s="27"/>
      <c r="I91" s="27"/>
      <c r="J91" s="27"/>
      <c r="K91" s="27"/>
      <c r="L91" s="27"/>
      <c r="M91" s="27"/>
      <c r="N91" s="26"/>
    </row>
    <row r="92" spans="2:22">
      <c r="C92" s="25"/>
    </row>
  </sheetData>
  <sheetProtection sheet="1" insertHyperlinks="0"/>
  <dataConsolidate/>
  <mergeCells count="8">
    <mergeCell ref="B85:D85"/>
    <mergeCell ref="C8:M8"/>
    <mergeCell ref="C9:M9"/>
    <mergeCell ref="P15:Q15"/>
    <mergeCell ref="L13:M13"/>
    <mergeCell ref="L71:M71"/>
    <mergeCell ref="B11:D11"/>
    <mergeCell ref="B69:D69"/>
  </mergeCells>
  <conditionalFormatting sqref="D17:E66">
    <cfRule type="containsBlanks" dxfId="22" priority="7">
      <formula>LEN(TRIM(D17))=0</formula>
    </cfRule>
    <cfRule type="cellIs" dxfId="21" priority="8" operator="equal">
      <formula>"q"</formula>
    </cfRule>
  </conditionalFormatting>
  <conditionalFormatting sqref="F17:J66">
    <cfRule type="expression" dxfId="20" priority="6">
      <formula>AND($G17&lt;&gt;"AddC",$G17&lt;&gt;"Mode",$G17&lt;&gt;"Add")</formula>
    </cfRule>
  </conditionalFormatting>
  <conditionalFormatting sqref="G73:J82">
    <cfRule type="expression" dxfId="19" priority="4">
      <formula>AND(#REF!&lt;&gt;"AddC",#REF!&lt;&gt;"Mode",#REF!&lt;&gt;"Add")</formula>
    </cfRule>
  </conditionalFormatting>
  <conditionalFormatting sqref="G13:L13">
    <cfRule type="expression" dxfId="18" priority="1">
      <formula>AND(#REF!&lt;&gt;"AddC",#REF!&lt;&gt;"Mode",#REF!&lt;&gt;"Add")</formula>
    </cfRule>
  </conditionalFormatting>
  <conditionalFormatting sqref="G12:M12 G14:M16 K17:K66 G67:M68 H71:I71 K89:M89">
    <cfRule type="expression" dxfId="17" priority="10">
      <formula>AND(#REF!&lt;&gt;"AddC",#REF!&lt;&gt;"Mode",#REF!&lt;&gt;"Add")</formula>
    </cfRule>
  </conditionalFormatting>
  <conditionalFormatting sqref="G70:M70 G72:M72 K73:M82 G83:M1048576">
    <cfRule type="expression" dxfId="16" priority="5">
      <formula>AND(#REF!&lt;&gt;"AddC",#REF!&lt;&gt;"Mode",#REF!&lt;&gt;"Add")</formula>
    </cfRule>
  </conditionalFormatting>
  <conditionalFormatting sqref="H69:M69">
    <cfRule type="expression" dxfId="15" priority="3">
      <formula>AND(#REF!&lt;&gt;"AddC",#REF!&lt;&gt;"Mode",#REF!&lt;&gt;"Add")</formula>
    </cfRule>
  </conditionalFormatting>
  <conditionalFormatting sqref="K71:L71">
    <cfRule type="expression" dxfId="14" priority="2">
      <formula>AND(#REF!&lt;&gt;"AddC",#REF!&lt;&gt;"Mode",#REF!&lt;&gt;"Add")</formula>
    </cfRule>
  </conditionalFormatting>
  <conditionalFormatting sqref="L17:M66">
    <cfRule type="expression" dxfId="13" priority="9">
      <formula>AND($G17&lt;&gt;"AddC",$G17&lt;&gt;"Mode",$G17&lt;&gt;"Add")</formula>
    </cfRule>
  </conditionalFormatting>
  <conditionalFormatting sqref="M12 M14:M16 M67:M70 M72:M1048576">
    <cfRule type="expression" dxfId="12" priority="11">
      <formula>AND(ISNUMBER($M12),$M12&lt;-0.01)</formula>
    </cfRule>
  </conditionalFormatting>
  <hyperlinks>
    <hyperlink ref="L71:M71" location="'D03 Company Debit Loan Summary'!Go_ShowHideRows_01" tooltip="Update Display" display="P  Update Display" xr:uid="{7399A9B3-F1CF-4962-9BB9-CE9691FA403D}"/>
    <hyperlink ref="L13:M13" location="'D03 Company Debit Loan Summary'!Go_ShowHideRows" tooltip="Update Display" display="P  Update Display" xr:uid="{6ADC5E91-2A40-442B-9264-E06C4AFA4C68}"/>
    <hyperlink ref="M3" location="'D03 Company Debit Loan Summary'!Go_Index" tooltip="Go to Record" display="Show Record" xr:uid="{7E91FE9B-1D00-47F2-8DC8-5CBAC6E13B38}"/>
  </hyperlinks>
  <printOptions horizontalCentered="1"/>
  <pageMargins left="0.59055118110236227" right="0.59055118110236227" top="0.59055118110236227" bottom="0.78740157480314965" header="0" footer="0"/>
  <pageSetup paperSize="9" scale="51" fitToHeight="2" orientation="portrait" r:id="rId1"/>
  <headerFooter alignWithMargins="0">
    <oddFooter>&amp;L&amp;F
Copyright © 2003-Present Business Fitness Pty Ltd&amp;R&amp;A &amp;P</oddFooter>
  </headerFooter>
  <customProperties>
    <customPr name="SheetId" r:id="rId2"/>
    <customPr name="SheetName" r:id="rId3"/>
  </customProperties>
  <extLst>
    <ext xmlns:x15="http://schemas.microsoft.com/office/spreadsheetml/2010/11/main" uri="{F7C9EE02-42E1-4005-9D12-6889AFFD525C}">
      <x15:webExtensions xmlns:xm="http://schemas.microsoft.com/office/excel/2006/main">
        <x15:webExtension appRef="{E7C100DE-1E56-44D6-BABC-50A409D231BB}">
          <xm:f>'D03 Company Debit Loan Summary'!D03_Number_of_Directors</xm:f>
        </x15:webExtension>
        <x15:webExtension appRef="{343E1163-F1B5-4A3F-AEE7-B8F4C146F3C5}">
          <xm:f>'D03 Company Debit Loan Summary'!D03_Number_of_Loans</xm:f>
        </x15:webExtension>
        <x15:webExtension appRef="{B0CCF379-2CF3-4C06-8220-E4DFD9593A02}">
          <xm:f>'D03 Company Debit Loan Summary'!Reconcile_Director1LoanBalance</xm:f>
        </x15:webExtension>
        <x15:webExtension appRef="{DC036DEC-4300-49CD-A1BD-4F0AD51309DF}">
          <xm:f>'D03 Company Debit Loan Summary'!Reconcile_Director2LoanBalance</xm:f>
        </x15:webExtension>
        <x15:webExtension appRef="{1E8571C4-C150-400F-926A-98A085AFAE0C}">
          <xm:f>'D03 Company Debit Loan Summary'!Reconcile_Director3LoanBalance</xm:f>
        </x15:webExtension>
        <x15:webExtension appRef="{5D3CCC21-20B5-41E4-B61A-1D4777B0ACF6}">
          <xm:f>'D03 Company Debit Loan Summary'!Reconcile_Div7AClosingBalance</xm:f>
        </x15:webExtension>
        <x15:webExtension appRef="{5B4ECD7E-8EE7-4F3E-9179-79D81360A7DB}">
          <xm:f>'D03 Company Debit Loan Summary'!Reconcile_TotalClosingBalance</xm:f>
        </x15:webExtension>
        <x15:webExtension appRef="{086CC3DF-9E3D-4BD7-9FB7-8FDE8DC6FFB4}">
          <xm:f>'D03 Company Debit Loan Summary'!Reconcile_UPEClosingBalance</xm:f>
        </x15:webExtension>
      </x15:webExtens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7159B-32E1-4EDC-BE81-236C047D1C25}">
  <sheetPr>
    <pageSetUpPr fitToPage="1"/>
  </sheetPr>
  <dimension ref="B1:N54"/>
  <sheetViews>
    <sheetView showGridLines="0" tabSelected="1" topLeftCell="A2" zoomScaleNormal="85" workbookViewId="0">
      <selection activeCell="J20" sqref="J20"/>
    </sheetView>
  </sheetViews>
  <sheetFormatPr defaultRowHeight="15"/>
  <cols>
    <col min="1" max="1" width="4.28515625" style="91" customWidth="1"/>
    <col min="2" max="2" width="1.42578125" style="91" customWidth="1"/>
    <col min="3" max="3" width="5.42578125" style="91" customWidth="1"/>
    <col min="4" max="4" width="8.7109375" style="91" customWidth="1"/>
    <col min="5" max="5" width="15.7109375" style="91" customWidth="1"/>
    <col min="6" max="6" width="19.7109375" style="91" customWidth="1"/>
    <col min="7" max="10" width="15.7109375" style="91" customWidth="1"/>
    <col min="11" max="11" width="1.42578125" style="91" customWidth="1"/>
    <col min="12" max="12" width="4.28515625" style="91" customWidth="1"/>
    <col min="13" max="13" width="15.7109375" style="91" customWidth="1"/>
    <col min="14" max="14" width="15.7109375" style="168" customWidth="1"/>
    <col min="15" max="16384" width="9.140625" style="91"/>
  </cols>
  <sheetData>
    <row r="1" spans="2:14" hidden="1">
      <c r="C1" s="275" t="s">
        <v>115</v>
      </c>
      <c r="D1" s="91" t="s">
        <v>244</v>
      </c>
      <c r="G1" s="274" t="s">
        <v>110</v>
      </c>
      <c r="H1" s="91" t="s">
        <v>243</v>
      </c>
      <c r="I1" s="273" t="s">
        <v>113</v>
      </c>
      <c r="J1" s="91" t="str" cm="1">
        <f t="array" ref="J1">IFERROR(Tm_Jurisdiction,"AU")</f>
        <v>AU</v>
      </c>
    </row>
    <row r="2" spans="2:14" ht="9" customHeight="1">
      <c r="C2" s="221"/>
      <c r="D2" s="221"/>
      <c r="E2" s="221"/>
    </row>
    <row r="3" spans="2:14" ht="24.95" customHeight="1">
      <c r="B3" s="221"/>
      <c r="C3" s="90" t="s">
        <v>242</v>
      </c>
      <c r="D3" s="221"/>
      <c r="E3" s="221"/>
      <c r="I3"/>
      <c r="J3" s="276" t="s">
        <v>116</v>
      </c>
    </row>
    <row r="4" spans="2:14" ht="22.5" customHeight="1">
      <c r="C4" s="272" t="str">
        <f>_xlfn.TEXTJOIN(" ",1,IFERROR(_xlfn.SINGLE(Cl_Name),"Client Name"),IF(IFERROR(_xlfn.SINGLE(Cl_Code),"")="","","("&amp;_xlfn.SINGLE(Cl_Code)&amp;")"))</f>
        <v>Springrange Holdings Pty Ltd (MuM001)</v>
      </c>
    </row>
    <row r="5" spans="2:14" ht="22.5" customHeight="1">
      <c r="C5" s="271">
        <f>IFERROR(_xlfn.SINGLE(PeriodEndDate),DATE(1901,1,1))</f>
        <v>45473</v>
      </c>
      <c r="D5" s="271"/>
      <c r="E5" s="271"/>
      <c r="F5" s="271"/>
      <c r="G5" s="271"/>
    </row>
    <row r="6" spans="2:14" ht="7.5" customHeight="1">
      <c r="B6" s="85"/>
      <c r="C6" s="85"/>
      <c r="D6" s="85"/>
      <c r="E6" s="85"/>
      <c r="F6" s="218"/>
      <c r="G6" s="218"/>
      <c r="H6" s="218"/>
      <c r="I6" s="218"/>
      <c r="J6" s="218"/>
      <c r="K6" s="218"/>
    </row>
    <row r="7" spans="2:14" ht="7.5" customHeight="1"/>
    <row r="8" spans="2:14" ht="30" customHeight="1">
      <c r="C8" s="270" t="s">
        <v>241</v>
      </c>
      <c r="D8" s="270"/>
      <c r="E8" s="270"/>
      <c r="F8" s="270"/>
      <c r="G8" s="270"/>
      <c r="H8" s="270"/>
      <c r="I8" s="270"/>
      <c r="J8" s="270"/>
    </row>
    <row r="9" spans="2:14" ht="30" customHeight="1">
      <c r="C9" s="269" t="s">
        <v>240</v>
      </c>
      <c r="D9" s="269"/>
      <c r="E9" s="269"/>
      <c r="F9" s="269"/>
      <c r="G9" s="269"/>
      <c r="H9" s="269"/>
      <c r="I9" s="269"/>
      <c r="J9" s="269"/>
    </row>
    <row r="10" spans="2:14" ht="17.25" customHeight="1">
      <c r="C10" s="268" t="s">
        <v>239</v>
      </c>
      <c r="D10" s="268"/>
      <c r="E10" s="268"/>
      <c r="F10" s="268"/>
      <c r="G10" s="268"/>
      <c r="H10" s="268"/>
      <c r="I10" s="268"/>
      <c r="J10" s="268"/>
    </row>
    <row r="11" spans="2:14" ht="22.5" customHeight="1"/>
    <row r="12" spans="2:14" ht="22.5" customHeight="1">
      <c r="B12" s="262" t="s">
        <v>238</v>
      </c>
      <c r="C12" s="262"/>
      <c r="D12" s="262"/>
      <c r="E12" s="262"/>
      <c r="F12" s="262"/>
      <c r="M12" s="202" t="s">
        <v>97</v>
      </c>
      <c r="N12" s="201"/>
    </row>
    <row r="13" spans="2:14" ht="7.5" customHeight="1">
      <c r="B13" s="261"/>
      <c r="C13" s="260"/>
      <c r="D13" s="260"/>
      <c r="E13" s="260"/>
      <c r="F13" s="260"/>
      <c r="G13" s="260"/>
      <c r="H13" s="260"/>
      <c r="I13" s="260"/>
      <c r="J13" s="260"/>
      <c r="K13" s="259"/>
    </row>
    <row r="14" spans="2:14" ht="22.5" customHeight="1">
      <c r="B14" s="249"/>
      <c r="I14" s="147" t="s">
        <v>237</v>
      </c>
      <c r="J14" s="122" t="s">
        <v>236</v>
      </c>
      <c r="K14" s="113"/>
    </row>
    <row r="15" spans="2:14" ht="7.5" customHeight="1">
      <c r="B15" s="249"/>
      <c r="I15" s="266"/>
      <c r="K15" s="113"/>
    </row>
    <row r="16" spans="2:14" ht="17.25" customHeight="1">
      <c r="B16" s="249"/>
      <c r="C16" s="267"/>
      <c r="D16" s="253" t="s">
        <v>229</v>
      </c>
      <c r="E16" s="253"/>
      <c r="F16" s="253"/>
      <c r="G16" s="253"/>
      <c r="I16" s="266" t="s">
        <v>230</v>
      </c>
      <c r="J16" s="185">
        <v>878940</v>
      </c>
      <c r="K16" s="265"/>
      <c r="M16" s="31"/>
      <c r="N16" s="264"/>
    </row>
    <row r="17" spans="2:14" ht="17.25" customHeight="1">
      <c r="B17" s="249"/>
      <c r="C17" s="256"/>
      <c r="D17" s="253" t="s">
        <v>219</v>
      </c>
      <c r="E17" s="253"/>
      <c r="F17" s="253"/>
      <c r="G17" s="253"/>
      <c r="I17" s="266" t="s">
        <v>220</v>
      </c>
      <c r="J17" s="185">
        <v>67000</v>
      </c>
      <c r="K17" s="265"/>
      <c r="M17" s="31"/>
      <c r="N17" s="264"/>
    </row>
    <row r="18" spans="2:14" ht="17.25" customHeight="1">
      <c r="B18" s="249"/>
      <c r="D18" s="253" t="s">
        <v>235</v>
      </c>
      <c r="E18" s="253"/>
      <c r="F18" s="253"/>
      <c r="G18" s="253"/>
      <c r="I18" s="266" t="s">
        <v>217</v>
      </c>
      <c r="J18" s="185"/>
      <c r="K18" s="265"/>
      <c r="M18" s="31"/>
      <c r="N18" s="264"/>
    </row>
    <row r="19" spans="2:14" ht="17.25" customHeight="1">
      <c r="B19" s="249"/>
      <c r="D19" s="253" t="s">
        <v>234</v>
      </c>
      <c r="E19" s="253"/>
      <c r="F19" s="253"/>
      <c r="G19" s="253"/>
      <c r="I19" s="266" t="s">
        <v>209</v>
      </c>
      <c r="J19" s="185">
        <v>500000</v>
      </c>
      <c r="K19" s="265"/>
      <c r="M19" s="31"/>
      <c r="N19" s="264"/>
    </row>
    <row r="20" spans="2:14" ht="17.25" customHeight="1">
      <c r="B20" s="249"/>
      <c r="D20" s="253" t="s">
        <v>233</v>
      </c>
      <c r="E20" s="253"/>
      <c r="F20" s="253"/>
      <c r="G20" s="253"/>
      <c r="I20" s="266" t="s">
        <v>206</v>
      </c>
      <c r="J20" s="185"/>
      <c r="K20" s="265"/>
      <c r="M20" s="31"/>
      <c r="N20" s="264"/>
    </row>
    <row r="21" spans="2:14" ht="7.5" customHeight="1">
      <c r="B21" s="249"/>
      <c r="D21" s="254"/>
      <c r="E21" s="254"/>
      <c r="F21" s="254"/>
      <c r="G21" s="254"/>
      <c r="I21" s="266"/>
      <c r="K21" s="265"/>
    </row>
    <row r="22" spans="2:14" ht="17.25" customHeight="1">
      <c r="B22" s="249"/>
      <c r="D22" s="253" t="s">
        <v>232</v>
      </c>
      <c r="E22" s="253"/>
      <c r="F22" s="253"/>
      <c r="G22" s="253"/>
      <c r="I22" s="254"/>
      <c r="J22" s="34">
        <f>+J16+J17-J18-J19-J20</f>
        <v>445940</v>
      </c>
      <c r="K22" s="265"/>
      <c r="M22" s="31"/>
      <c r="N22" s="264"/>
    </row>
    <row r="23" spans="2:14" ht="7.5" customHeight="1">
      <c r="B23" s="246"/>
      <c r="C23" s="218"/>
      <c r="D23" s="263"/>
      <c r="E23" s="263"/>
      <c r="F23" s="263"/>
      <c r="G23" s="263"/>
      <c r="H23" s="263"/>
      <c r="I23" s="218"/>
      <c r="J23" s="218"/>
      <c r="K23" s="242"/>
    </row>
    <row r="24" spans="2:14" ht="22.5" customHeight="1">
      <c r="D24" s="254"/>
      <c r="E24" s="254"/>
      <c r="F24" s="254"/>
      <c r="G24" s="254"/>
      <c r="H24" s="254"/>
    </row>
    <row r="25" spans="2:14" ht="22.5" customHeight="1">
      <c r="B25" s="262" t="s">
        <v>231</v>
      </c>
      <c r="C25" s="262"/>
      <c r="D25" s="262"/>
      <c r="E25" s="262"/>
      <c r="F25" s="262"/>
    </row>
    <row r="26" spans="2:14" ht="7.5" customHeight="1">
      <c r="B26" s="261"/>
      <c r="C26" s="260"/>
      <c r="D26" s="260"/>
      <c r="E26" s="260"/>
      <c r="F26" s="260"/>
      <c r="G26" s="260"/>
      <c r="H26" s="260"/>
      <c r="I26" s="260"/>
      <c r="J26" s="260"/>
      <c r="K26" s="259"/>
    </row>
    <row r="27" spans="2:14" ht="17.25" customHeight="1">
      <c r="B27" s="249"/>
      <c r="C27" s="254" t="s">
        <v>230</v>
      </c>
      <c r="D27" s="253" t="s">
        <v>229</v>
      </c>
      <c r="E27" s="253"/>
      <c r="F27" s="253"/>
      <c r="K27" s="113"/>
    </row>
    <row r="28" spans="2:14" ht="30" customHeight="1">
      <c r="B28" s="249"/>
      <c r="C28" s="250" t="s">
        <v>228</v>
      </c>
      <c r="D28" s="250"/>
      <c r="E28" s="250"/>
      <c r="F28" s="250"/>
      <c r="G28" s="250"/>
      <c r="H28" s="250"/>
      <c r="I28" s="250"/>
      <c r="J28" s="250"/>
      <c r="K28" s="113"/>
    </row>
    <row r="29" spans="2:14" ht="17.25" customHeight="1">
      <c r="B29" s="249"/>
      <c r="C29" s="251" t="s">
        <v>203</v>
      </c>
      <c r="D29" s="250" t="s">
        <v>227</v>
      </c>
      <c r="E29" s="250"/>
      <c r="F29" s="250"/>
      <c r="G29" s="250"/>
      <c r="H29" s="255"/>
      <c r="I29" s="255"/>
      <c r="J29" s="255"/>
      <c r="K29" s="113"/>
    </row>
    <row r="30" spans="2:14" ht="17.25" customHeight="1">
      <c r="B30" s="249"/>
      <c r="C30" s="251" t="s">
        <v>201</v>
      </c>
      <c r="D30" s="250" t="s">
        <v>226</v>
      </c>
      <c r="E30" s="250"/>
      <c r="F30" s="250"/>
      <c r="G30" s="250"/>
      <c r="H30" s="255"/>
      <c r="I30" s="255"/>
      <c r="J30" s="255"/>
      <c r="K30" s="113"/>
    </row>
    <row r="31" spans="2:14" ht="17.25" customHeight="1">
      <c r="B31" s="249"/>
      <c r="C31" s="251"/>
      <c r="D31" s="250" t="s">
        <v>225</v>
      </c>
      <c r="E31" s="250"/>
      <c r="F31" s="250"/>
      <c r="G31" s="250"/>
      <c r="H31" s="255"/>
      <c r="I31" s="255"/>
      <c r="J31" s="255"/>
      <c r="K31" s="113"/>
    </row>
    <row r="32" spans="2:14" ht="17.25" customHeight="1">
      <c r="B32" s="249"/>
      <c r="C32" s="251"/>
      <c r="D32" s="250" t="s">
        <v>224</v>
      </c>
      <c r="E32" s="250"/>
      <c r="F32" s="250"/>
      <c r="G32" s="250"/>
      <c r="H32" s="255"/>
      <c r="I32" s="255"/>
      <c r="J32" s="255"/>
      <c r="K32" s="113"/>
    </row>
    <row r="33" spans="2:11" ht="17.25" customHeight="1">
      <c r="B33" s="249"/>
      <c r="C33" s="251"/>
      <c r="D33" s="250" t="s">
        <v>223</v>
      </c>
      <c r="E33" s="250"/>
      <c r="F33" s="250"/>
      <c r="G33" s="250"/>
      <c r="H33" s="255"/>
      <c r="I33" s="255"/>
      <c r="J33" s="255"/>
      <c r="K33" s="113"/>
    </row>
    <row r="34" spans="2:11" ht="17.25" customHeight="1">
      <c r="B34" s="249"/>
      <c r="C34" s="251"/>
      <c r="D34" s="250" t="s">
        <v>222</v>
      </c>
      <c r="E34" s="250"/>
      <c r="F34" s="250"/>
      <c r="G34" s="250"/>
      <c r="H34" s="255"/>
      <c r="I34" s="255"/>
      <c r="J34" s="255"/>
      <c r="K34" s="113"/>
    </row>
    <row r="35" spans="2:11" ht="30" customHeight="1">
      <c r="B35" s="249"/>
      <c r="C35" s="250" t="s">
        <v>221</v>
      </c>
      <c r="D35" s="250"/>
      <c r="E35" s="250"/>
      <c r="F35" s="250"/>
      <c r="G35" s="250"/>
      <c r="H35" s="250"/>
      <c r="I35" s="250"/>
      <c r="J35" s="250"/>
      <c r="K35" s="113"/>
    </row>
    <row r="36" spans="2:11" ht="17.25" customHeight="1">
      <c r="B36" s="249"/>
      <c r="C36" s="254" t="s">
        <v>220</v>
      </c>
      <c r="D36" s="253" t="s">
        <v>219</v>
      </c>
      <c r="E36" s="253"/>
      <c r="F36" s="253"/>
      <c r="K36" s="113"/>
    </row>
    <row r="37" spans="2:11" ht="30" customHeight="1">
      <c r="B37" s="249"/>
      <c r="C37" s="250" t="s">
        <v>218</v>
      </c>
      <c r="D37" s="250"/>
      <c r="E37" s="250"/>
      <c r="F37" s="250"/>
      <c r="G37" s="250"/>
      <c r="H37" s="250"/>
      <c r="I37" s="250"/>
      <c r="J37" s="250"/>
      <c r="K37" s="113"/>
    </row>
    <row r="38" spans="2:11" s="256" customFormat="1" ht="17.25" customHeight="1">
      <c r="B38" s="258"/>
      <c r="C38" s="254" t="s">
        <v>217</v>
      </c>
      <c r="D38" s="253" t="s">
        <v>216</v>
      </c>
      <c r="E38" s="253"/>
      <c r="F38" s="253"/>
      <c r="K38" s="257"/>
    </row>
    <row r="39" spans="2:11" s="256" customFormat="1" ht="15" customHeight="1">
      <c r="B39" s="258"/>
      <c r="C39" s="250" t="s">
        <v>215</v>
      </c>
      <c r="D39" s="250"/>
      <c r="E39" s="250"/>
      <c r="F39" s="250"/>
      <c r="G39" s="250"/>
      <c r="H39" s="250"/>
      <c r="I39" s="250"/>
      <c r="J39" s="250"/>
      <c r="K39" s="257"/>
    </row>
    <row r="40" spans="2:11" s="256" customFormat="1" ht="15" customHeight="1">
      <c r="B40" s="258"/>
      <c r="C40" s="251" t="s">
        <v>203</v>
      </c>
      <c r="D40" s="250" t="s">
        <v>214</v>
      </c>
      <c r="E40" s="250"/>
      <c r="F40" s="250"/>
      <c r="G40" s="250"/>
      <c r="H40" s="250"/>
      <c r="I40" s="250"/>
      <c r="J40" s="250"/>
      <c r="K40" s="257"/>
    </row>
    <row r="41" spans="2:11" ht="17.25" customHeight="1">
      <c r="B41" s="249"/>
      <c r="C41" s="248"/>
      <c r="D41" s="247" t="s">
        <v>213</v>
      </c>
      <c r="E41" s="247"/>
      <c r="F41" s="247"/>
      <c r="G41" s="247"/>
      <c r="H41" s="247"/>
      <c r="I41" s="247"/>
      <c r="J41" s="247"/>
      <c r="K41" s="113"/>
    </row>
    <row r="42" spans="2:11" ht="17.25" customHeight="1">
      <c r="B42" s="249"/>
      <c r="C42" s="248"/>
      <c r="D42" s="247" t="s">
        <v>212</v>
      </c>
      <c r="E42" s="247"/>
      <c r="F42" s="247"/>
      <c r="G42" s="247"/>
      <c r="H42" s="247"/>
      <c r="I42" s="247"/>
      <c r="J42" s="247"/>
      <c r="K42" s="113"/>
    </row>
    <row r="43" spans="2:11" ht="30" customHeight="1">
      <c r="B43" s="249"/>
      <c r="C43" s="248" t="s">
        <v>201</v>
      </c>
      <c r="D43" s="250" t="s">
        <v>211</v>
      </c>
      <c r="E43" s="250"/>
      <c r="F43" s="250"/>
      <c r="G43" s="250"/>
      <c r="H43" s="255"/>
      <c r="I43" s="255"/>
      <c r="J43" s="255"/>
      <c r="K43" s="113"/>
    </row>
    <row r="44" spans="2:11" ht="17.25" customHeight="1">
      <c r="B44" s="249"/>
      <c r="C44" s="250" t="s">
        <v>210</v>
      </c>
      <c r="D44" s="250"/>
      <c r="E44" s="250"/>
      <c r="F44" s="250"/>
      <c r="G44" s="250"/>
      <c r="H44" s="250"/>
      <c r="I44" s="250"/>
      <c r="J44" s="250"/>
      <c r="K44" s="113"/>
    </row>
    <row r="45" spans="2:11" ht="17.25" customHeight="1">
      <c r="B45" s="249"/>
      <c r="C45" s="254" t="s">
        <v>209</v>
      </c>
      <c r="D45" s="253" t="s">
        <v>208</v>
      </c>
      <c r="E45" s="253"/>
      <c r="F45" s="253"/>
      <c r="K45" s="113"/>
    </row>
    <row r="46" spans="2:11" ht="17.25" customHeight="1">
      <c r="B46" s="249"/>
      <c r="C46" s="250" t="s">
        <v>207</v>
      </c>
      <c r="D46" s="250"/>
      <c r="E46" s="250"/>
      <c r="F46" s="250"/>
      <c r="G46" s="250"/>
      <c r="H46" s="250"/>
      <c r="I46" s="250"/>
      <c r="J46" s="250"/>
      <c r="K46" s="113"/>
    </row>
    <row r="47" spans="2:11" ht="17.25" customHeight="1">
      <c r="B47" s="249"/>
      <c r="C47" s="254" t="s">
        <v>206</v>
      </c>
      <c r="D47" s="253" t="s">
        <v>205</v>
      </c>
      <c r="E47" s="253"/>
      <c r="F47" s="253"/>
      <c r="G47" s="252"/>
      <c r="H47" s="252"/>
      <c r="K47" s="113"/>
    </row>
    <row r="48" spans="2:11" ht="17.25" customHeight="1">
      <c r="B48" s="249"/>
      <c r="C48" s="250" t="s">
        <v>204</v>
      </c>
      <c r="D48" s="250"/>
      <c r="E48" s="250"/>
      <c r="F48" s="250"/>
      <c r="G48" s="250"/>
      <c r="H48" s="250"/>
      <c r="I48" s="250"/>
      <c r="J48" s="250"/>
      <c r="K48" s="113"/>
    </row>
    <row r="49" spans="2:11" ht="30" customHeight="1">
      <c r="B49" s="249"/>
      <c r="C49" s="251" t="s">
        <v>203</v>
      </c>
      <c r="D49" s="250" t="s">
        <v>202</v>
      </c>
      <c r="E49" s="250"/>
      <c r="F49" s="250"/>
      <c r="G49" s="250"/>
      <c r="H49" s="250"/>
      <c r="I49" s="250"/>
      <c r="J49" s="250"/>
      <c r="K49" s="113"/>
    </row>
    <row r="50" spans="2:11" ht="30" customHeight="1">
      <c r="B50" s="249"/>
      <c r="C50" s="248" t="s">
        <v>201</v>
      </c>
      <c r="D50" s="247" t="s">
        <v>200</v>
      </c>
      <c r="E50" s="247"/>
      <c r="F50" s="247"/>
      <c r="G50" s="247"/>
      <c r="H50" s="247"/>
      <c r="I50" s="247"/>
      <c r="J50" s="247"/>
      <c r="K50" s="113"/>
    </row>
    <row r="51" spans="2:11" ht="30" customHeight="1">
      <c r="B51" s="249"/>
      <c r="C51" s="248"/>
      <c r="D51" s="247" t="s">
        <v>199</v>
      </c>
      <c r="E51" s="247"/>
      <c r="F51" s="247"/>
      <c r="G51" s="247"/>
      <c r="H51" s="247"/>
      <c r="I51" s="247"/>
      <c r="J51" s="247"/>
      <c r="K51" s="113"/>
    </row>
    <row r="52" spans="2:11" ht="17.25" customHeight="1">
      <c r="B52" s="249"/>
      <c r="C52" s="248"/>
      <c r="D52" s="247" t="s">
        <v>198</v>
      </c>
      <c r="E52" s="247"/>
      <c r="F52" s="247"/>
      <c r="G52" s="247"/>
      <c r="H52" s="247"/>
      <c r="I52" s="247"/>
      <c r="J52" s="247"/>
      <c r="K52" s="113"/>
    </row>
    <row r="53" spans="2:11" ht="7.5" customHeight="1">
      <c r="B53" s="246"/>
      <c r="C53" s="245"/>
      <c r="D53" s="244"/>
      <c r="E53" s="244"/>
      <c r="F53" s="243"/>
      <c r="G53" s="218"/>
      <c r="H53" s="218"/>
      <c r="I53" s="218"/>
      <c r="J53" s="218"/>
      <c r="K53" s="242"/>
    </row>
    <row r="54" spans="2:11">
      <c r="C54" s="241"/>
    </row>
  </sheetData>
  <sheetProtection formatCells="0" formatColumns="0" formatRows="0" insertColumns="0" insertRows="0" insertHyperlinks="0"/>
  <mergeCells count="39">
    <mergeCell ref="B12:F12"/>
    <mergeCell ref="B25:F25"/>
    <mergeCell ref="D18:G18"/>
    <mergeCell ref="D22:G22"/>
    <mergeCell ref="D16:G16"/>
    <mergeCell ref="D17:G17"/>
    <mergeCell ref="C44:J44"/>
    <mergeCell ref="C5:G5"/>
    <mergeCell ref="D19:G19"/>
    <mergeCell ref="D20:G20"/>
    <mergeCell ref="C8:J8"/>
    <mergeCell ref="C9:J9"/>
    <mergeCell ref="C10:J10"/>
    <mergeCell ref="D32:J32"/>
    <mergeCell ref="D33:J33"/>
    <mergeCell ref="D38:F38"/>
    <mergeCell ref="C39:J39"/>
    <mergeCell ref="D41:J41"/>
    <mergeCell ref="D42:J42"/>
    <mergeCell ref="D29:J29"/>
    <mergeCell ref="D30:J30"/>
    <mergeCell ref="D50:J50"/>
    <mergeCell ref="D47:F47"/>
    <mergeCell ref="C46:J46"/>
    <mergeCell ref="C37:J37"/>
    <mergeCell ref="D45:F45"/>
    <mergeCell ref="D36:F36"/>
    <mergeCell ref="C35:J35"/>
    <mergeCell ref="D31:J31"/>
    <mergeCell ref="M12:N12"/>
    <mergeCell ref="D52:J52"/>
    <mergeCell ref="C48:J48"/>
    <mergeCell ref="D51:J51"/>
    <mergeCell ref="D34:J34"/>
    <mergeCell ref="D40:J40"/>
    <mergeCell ref="D43:J43"/>
    <mergeCell ref="D49:J49"/>
    <mergeCell ref="D27:F27"/>
    <mergeCell ref="C28:J28"/>
  </mergeCells>
  <hyperlinks>
    <hyperlink ref="J3" location="'D06 Distributable Surplus'!Go_Index" tooltip="Go to Record" display="Show Record" xr:uid="{1DDABA9A-601E-42AB-A3DD-64AFB1E2D031}"/>
    <hyperlink ref="C10:J10" r:id="rId1" tooltip="Go to ATO website" display="Refer to  ATO - Division 7A - Distributable Surplus" xr:uid="{99B23AF0-989F-4175-ACAF-13124C659C1F}"/>
  </hyperlinks>
  <pageMargins left="0.74803149606299213" right="0.74803149606299213" top="0.98425196850393704" bottom="0.98425196850393704" header="0.51181102362204722" footer="0.51181102362204722"/>
  <pageSetup paperSize="9" scale="74" orientation="portrait" horizontalDpi="300" verticalDpi="300" r:id="rId2"/>
  <headerFooter alignWithMargins="0">
    <oddFooter>&amp;L&amp;F
Copyright(c) 2005-Present Business Fitness Pty Ltd&amp;R&amp;A  Page   &amp;"Arial,Regular"&amp;P</oddFooter>
  </headerFooter>
  <customProperties>
    <customPr name="SheetId" r:id="rId3"/>
    <customPr name="SheetName" r:id="rId4"/>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0EF92-7D1C-46D9-B55A-859D12D8ADD6}">
  <dimension ref="A1:O29"/>
  <sheetViews>
    <sheetView showGridLines="0" workbookViewId="0">
      <pane ySplit="2" topLeftCell="A3" activePane="bottomLeft" state="frozen"/>
      <selection pane="bottomLeft"/>
    </sheetView>
  </sheetViews>
  <sheetFormatPr defaultRowHeight="15"/>
  <cols>
    <col min="1" max="1" width="2.85546875" customWidth="1"/>
    <col min="2" max="2" width="1.42578125" customWidth="1"/>
    <col min="3" max="3" width="37.42578125" hidden="1" customWidth="1"/>
    <col min="4" max="4" width="9.7109375" hidden="1" customWidth="1"/>
    <col min="5" max="5" width="43.28515625" bestFit="1" customWidth="1"/>
    <col min="6" max="6" width="6.28515625" bestFit="1" customWidth="1"/>
    <col min="7" max="7" width="7.85546875" bestFit="1" customWidth="1"/>
    <col min="8" max="8" width="6" bestFit="1" customWidth="1"/>
    <col min="9" max="9" width="11.140625" bestFit="1" customWidth="1"/>
    <col min="10" max="10" width="36.140625" bestFit="1" customWidth="1"/>
    <col min="11" max="11" width="17.42578125" bestFit="1" customWidth="1"/>
    <col min="12" max="12" width="8.7109375" bestFit="1" customWidth="1"/>
    <col min="13" max="13" width="1.42578125" customWidth="1"/>
    <col min="15" max="15" width="9.7109375" bestFit="1" customWidth="1"/>
  </cols>
  <sheetData>
    <row r="1" spans="1:15" hidden="1">
      <c r="A1" t="s">
        <v>5</v>
      </c>
      <c r="B1" t="s">
        <v>6</v>
      </c>
      <c r="C1" t="s">
        <v>7</v>
      </c>
      <c r="D1" t="s">
        <v>8</v>
      </c>
      <c r="E1" t="s">
        <v>9</v>
      </c>
      <c r="F1" t="s">
        <v>10</v>
      </c>
      <c r="G1" t="s">
        <v>11</v>
      </c>
      <c r="H1" t="s">
        <v>12</v>
      </c>
      <c r="I1" t="s">
        <v>13</v>
      </c>
      <c r="J1" t="s">
        <v>14</v>
      </c>
      <c r="K1" t="s">
        <v>15</v>
      </c>
      <c r="L1" t="s">
        <v>16</v>
      </c>
      <c r="M1" t="s">
        <v>17</v>
      </c>
      <c r="O1" t="s">
        <v>18</v>
      </c>
    </row>
    <row r="2" spans="1:15" ht="30" customHeight="1">
      <c r="A2" s="5"/>
      <c r="B2" s="5"/>
      <c r="C2" s="5" t="s">
        <v>19</v>
      </c>
      <c r="D2" s="5"/>
      <c r="E2" s="5" t="s">
        <v>20</v>
      </c>
      <c r="F2" s="5" t="s">
        <v>10</v>
      </c>
      <c r="G2" s="5" t="s">
        <v>21</v>
      </c>
      <c r="H2" s="5"/>
      <c r="I2" s="5" t="s">
        <v>13</v>
      </c>
      <c r="J2" s="5" t="s">
        <v>22</v>
      </c>
      <c r="K2" s="5"/>
      <c r="L2" s="5"/>
      <c r="M2" s="5"/>
      <c r="N2" s="5"/>
      <c r="O2" s="5" t="s">
        <v>18</v>
      </c>
    </row>
    <row r="4" spans="1:15">
      <c r="B4" s="6"/>
      <c r="C4" s="6" t="s">
        <v>120</v>
      </c>
      <c r="D4" s="6"/>
      <c r="E4" s="6" t="s">
        <v>121</v>
      </c>
    </row>
    <row r="5" spans="1:15" ht="7.5" customHeight="1">
      <c r="B5" s="11"/>
      <c r="C5" s="7"/>
      <c r="D5" s="7"/>
      <c r="E5" s="7"/>
      <c r="F5" s="7"/>
      <c r="G5" s="7"/>
      <c r="H5" s="7"/>
      <c r="I5" s="7"/>
      <c r="J5" s="7"/>
      <c r="K5" s="7"/>
      <c r="L5" s="7"/>
      <c r="M5" s="9"/>
    </row>
    <row r="6" spans="1:15" ht="7.5" customHeight="1">
      <c r="B6" s="96"/>
      <c r="C6" s="97"/>
      <c r="D6" s="97"/>
      <c r="E6" s="97"/>
      <c r="F6" s="97"/>
      <c r="G6" s="97"/>
      <c r="H6" s="97"/>
      <c r="I6" s="97"/>
      <c r="J6" s="97"/>
      <c r="K6" s="97"/>
      <c r="L6" s="97"/>
      <c r="M6" s="98"/>
    </row>
    <row r="7" spans="1:15" ht="14.25" customHeight="1"/>
    <row r="8" spans="1:15" ht="14.25" customHeight="1">
      <c r="B8" s="6"/>
      <c r="C8" s="6" t="s">
        <v>122</v>
      </c>
      <c r="D8" s="6"/>
      <c r="E8" s="6" t="s">
        <v>123</v>
      </c>
    </row>
    <row r="9" spans="1:15" ht="7.5" customHeight="1">
      <c r="B9" s="11"/>
      <c r="C9" s="7"/>
      <c r="D9" s="7"/>
      <c r="E9" s="7"/>
      <c r="F9" s="7"/>
      <c r="G9" s="7"/>
      <c r="H9" s="7"/>
      <c r="I9" s="7"/>
      <c r="J9" s="7"/>
      <c r="K9" s="7"/>
      <c r="L9" s="7"/>
      <c r="M9" s="9"/>
    </row>
    <row r="10" spans="1:15" ht="7.5" customHeight="1">
      <c r="B10" s="13"/>
      <c r="C10" s="14"/>
      <c r="D10" s="14"/>
      <c r="E10" s="14"/>
      <c r="F10" s="14"/>
      <c r="G10" s="14"/>
      <c r="H10" s="14"/>
      <c r="I10" s="14"/>
      <c r="J10" s="14"/>
      <c r="K10" s="14"/>
      <c r="L10" s="14"/>
      <c r="M10" s="15"/>
    </row>
    <row r="11" spans="1:15" ht="14.25" customHeight="1"/>
    <row r="12" spans="1:15" ht="14.25" customHeight="1">
      <c r="B12" s="6"/>
      <c r="C12" s="6" t="s">
        <v>124</v>
      </c>
      <c r="D12" s="6"/>
      <c r="E12" s="6" t="s">
        <v>125</v>
      </c>
    </row>
    <row r="13" spans="1:15" ht="7.5" customHeight="1">
      <c r="B13" s="11"/>
      <c r="C13" s="7"/>
      <c r="D13" s="7"/>
      <c r="E13" s="7"/>
      <c r="F13" s="7"/>
      <c r="G13" s="7"/>
      <c r="H13" s="7"/>
      <c r="I13" s="7"/>
      <c r="J13" s="7"/>
      <c r="K13" s="7"/>
      <c r="L13" s="7"/>
      <c r="M13" s="9"/>
    </row>
    <row r="14" spans="1:15" ht="14.25" customHeight="1">
      <c r="B14" s="12"/>
      <c r="C14" s="101" t="s">
        <v>126</v>
      </c>
      <c r="D14" s="101">
        <v>1</v>
      </c>
      <c r="E14" s="100" t="s">
        <v>111</v>
      </c>
      <c r="F14" s="99"/>
      <c r="G14" s="99"/>
      <c r="H14" s="99"/>
      <c r="I14" s="99" t="s">
        <v>127</v>
      </c>
      <c r="J14" s="99" t="s">
        <v>128</v>
      </c>
      <c r="K14" s="99"/>
      <c r="L14" s="99"/>
      <c r="M14" s="10"/>
    </row>
    <row r="15" spans="1:15" ht="7.5" customHeight="1">
      <c r="B15" s="13"/>
      <c r="C15" s="14"/>
      <c r="D15" s="14"/>
      <c r="E15" s="14"/>
      <c r="F15" s="14"/>
      <c r="G15" s="14"/>
      <c r="H15" s="14"/>
      <c r="I15" s="14"/>
      <c r="J15" s="14"/>
      <c r="K15" s="14"/>
      <c r="L15" s="14"/>
      <c r="M15" s="15"/>
    </row>
    <row r="17" spans="2:13">
      <c r="B17" s="6"/>
      <c r="C17" s="6" t="s">
        <v>129</v>
      </c>
      <c r="D17" s="6"/>
      <c r="E17" s="6" t="s">
        <v>130</v>
      </c>
    </row>
    <row r="18" spans="2:13" ht="7.5" customHeight="1">
      <c r="B18" s="11"/>
      <c r="C18" s="7"/>
      <c r="D18" s="7"/>
      <c r="E18" s="7"/>
      <c r="F18" s="7"/>
      <c r="G18" s="7"/>
      <c r="H18" s="7"/>
      <c r="I18" s="7"/>
      <c r="J18" s="7"/>
      <c r="K18" s="7"/>
      <c r="L18" s="7"/>
      <c r="M18" s="9"/>
    </row>
    <row r="19" spans="2:13" ht="7.5" customHeight="1">
      <c r="B19" s="13"/>
      <c r="C19" s="14"/>
      <c r="D19" s="14"/>
      <c r="E19" s="14"/>
      <c r="F19" s="14"/>
      <c r="G19" s="14"/>
      <c r="H19" s="14"/>
      <c r="I19" s="14"/>
      <c r="J19" s="14"/>
      <c r="K19" s="14"/>
      <c r="L19" s="14"/>
      <c r="M19" s="15"/>
    </row>
    <row r="21" spans="2:13">
      <c r="B21" s="6"/>
      <c r="C21" s="6"/>
      <c r="D21" s="6"/>
      <c r="E21" s="6" t="s">
        <v>23</v>
      </c>
    </row>
    <row r="22" spans="2:13" ht="7.5" customHeight="1">
      <c r="B22" s="11"/>
      <c r="C22" s="7"/>
      <c r="D22" s="7"/>
      <c r="E22" s="7"/>
      <c r="F22" s="7"/>
      <c r="G22" s="7"/>
      <c r="H22" s="7"/>
      <c r="I22" s="7"/>
      <c r="J22" s="7"/>
      <c r="K22" s="7"/>
      <c r="L22" s="7"/>
      <c r="M22" s="9"/>
    </row>
    <row r="23" spans="2:13">
      <c r="B23" s="16"/>
      <c r="C23" s="17"/>
      <c r="D23" s="17"/>
      <c r="E23" s="17"/>
      <c r="F23" s="17"/>
      <c r="G23" s="17"/>
      <c r="H23" s="17"/>
      <c r="I23" s="17"/>
      <c r="J23" s="17"/>
      <c r="K23" s="17"/>
      <c r="L23" s="17"/>
      <c r="M23" s="18"/>
    </row>
    <row r="24" spans="2:13" ht="7.5" customHeight="1">
      <c r="B24" s="13"/>
      <c r="C24" s="14"/>
      <c r="D24" s="14"/>
      <c r="E24" s="14"/>
      <c r="F24" s="14"/>
      <c r="G24" s="14"/>
      <c r="H24" s="14"/>
      <c r="I24" s="14"/>
      <c r="J24" s="14"/>
      <c r="K24" s="14"/>
      <c r="L24" s="14"/>
      <c r="M24" s="15"/>
    </row>
    <row r="27" spans="2:13" ht="7.5" customHeight="1">
      <c r="B27" s="11"/>
      <c r="C27" s="7"/>
      <c r="D27" s="7"/>
      <c r="E27" s="7"/>
      <c r="F27" s="7"/>
      <c r="G27" s="7"/>
      <c r="H27" s="7"/>
      <c r="I27" s="7"/>
      <c r="J27" s="7"/>
      <c r="K27" s="7"/>
      <c r="L27" s="7"/>
      <c r="M27" s="9"/>
    </row>
    <row r="28" spans="2:13">
      <c r="B28" s="12"/>
      <c r="C28" s="8"/>
      <c r="D28" s="8"/>
      <c r="E28" s="8" t="s">
        <v>24</v>
      </c>
      <c r="F28" s="8"/>
      <c r="G28" s="8"/>
      <c r="H28" s="8"/>
      <c r="I28" s="8" t="s">
        <v>131</v>
      </c>
      <c r="J28" s="8"/>
      <c r="K28" s="8"/>
      <c r="L28" s="8"/>
      <c r="M28" s="10"/>
    </row>
    <row r="29" spans="2:13" ht="7.5" customHeight="1">
      <c r="B29" s="13"/>
      <c r="C29" s="14"/>
      <c r="D29" s="14"/>
      <c r="E29" s="14"/>
      <c r="F29" s="14"/>
      <c r="G29" s="14"/>
      <c r="H29" s="14"/>
      <c r="I29" s="14"/>
      <c r="J29" s="14"/>
      <c r="K29" s="14"/>
      <c r="L29" s="14"/>
      <c r="M29" s="15"/>
    </row>
  </sheetData>
  <sheetProtection sheet="1" formatCells="0" formatColumns="0" formatRows="0" insertColumns="0" insertRows="0" insertHyperlinks="0"/>
  <conditionalFormatting sqref="G1:G6 G16:G1048576">
    <cfRule type="containsText" dxfId="3" priority="1" operator="containsText" text="TRUE">
      <formula>NOT(ISERROR(SEARCH("TRUE",G1)))</formula>
    </cfRule>
  </conditionalFormatting>
  <conditionalFormatting sqref="G1:G6 G16:G1048576">
    <cfRule type="containsText" dxfId="2" priority="2" operator="containsText" text="FALSE">
      <formula>NOT(ISERROR(SEARCH("FALSE",G1)))</formula>
    </cfRule>
  </conditionalFormatting>
  <conditionalFormatting sqref="G1:G1048576">
    <cfRule type="containsText" dxfId="1" priority="3" operator="containsText" text="TRUE">
      <formula>NOT(ISERROR(SEARCH("TRUE",G1)))</formula>
    </cfRule>
  </conditionalFormatting>
  <conditionalFormatting sqref="G1:G1048576">
    <cfRule type="containsText" dxfId="0" priority="4" operator="containsText" text="FALSE">
      <formula>NOT(ISERROR(SEARCH("FALSE",G1)))</formula>
    </cfRule>
  </conditionalFormatting>
  <hyperlinks>
    <hyperlink ref="E14" location="'D03 Company Debit Loan Summary'!A1" display="Company Debit Loan Summary" xr:uid="{2D9545A8-0FF4-4136-882D-A705173E2881}"/>
  </hyperlinks>
  <pageMargins left="0.7" right="0.7" top="0.75" bottom="0.75" header="0.3" footer="0.3"/>
  <customProperties>
    <customPr name="BinderStatus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9BD4D-99A6-4D62-B84C-286071169CF1}">
  <dimension ref="A1:B4"/>
  <sheetViews>
    <sheetView workbookViewId="0"/>
  </sheetViews>
  <sheetFormatPr defaultRowHeight="15"/>
  <sheetData>
    <row r="1" spans="1:2">
      <c r="A1" t="s">
        <v>25</v>
      </c>
      <c r="B1" t="s">
        <v>26</v>
      </c>
    </row>
    <row r="2" spans="1:2">
      <c r="A2" t="s">
        <v>27</v>
      </c>
      <c r="B2">
        <v>3</v>
      </c>
    </row>
    <row r="3" spans="1:2">
      <c r="A3" t="s">
        <v>28</v>
      </c>
      <c r="B3">
        <v>1732620223302</v>
      </c>
    </row>
    <row r="4" spans="1:2">
      <c r="A4" t="s">
        <v>29</v>
      </c>
      <c r="B4">
        <v>1725411100000</v>
      </c>
    </row>
  </sheetData>
  <sheetProtection sheet="1" formatCells="0" formatColumns="0" formatRows="0" insertColumns="0" insertRows="0" insertHyperlink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4094A-96A3-43E5-8633-1178FACCC0FE}">
  <dimension ref="A1:F53"/>
  <sheetViews>
    <sheetView showGridLines="0" topLeftCell="A2" workbookViewId="0"/>
  </sheetViews>
  <sheetFormatPr defaultRowHeight="15"/>
  <cols>
    <col min="1" max="1" width="2.85546875" customWidth="1"/>
    <col min="2" max="2" width="1.42578125" customWidth="1"/>
    <col min="3" max="3" width="38.140625" customWidth="1"/>
    <col min="4" max="4" width="11.42578125" customWidth="1"/>
    <col min="5" max="5" width="38.140625" customWidth="1"/>
    <col min="6" max="6" width="1.42578125" customWidth="1"/>
  </cols>
  <sheetData>
    <row r="1" spans="1:6" hidden="1">
      <c r="A1" t="s">
        <v>5</v>
      </c>
      <c r="B1" t="s">
        <v>6</v>
      </c>
      <c r="C1" t="s">
        <v>30</v>
      </c>
      <c r="D1" t="s">
        <v>31</v>
      </c>
      <c r="E1" t="s">
        <v>32</v>
      </c>
      <c r="F1" t="s">
        <v>17</v>
      </c>
    </row>
    <row r="3" spans="1:6">
      <c r="B3" s="6"/>
      <c r="C3" s="6" t="s">
        <v>33</v>
      </c>
    </row>
    <row r="4" spans="1:6" ht="7.5" customHeight="1">
      <c r="B4" s="11"/>
      <c r="C4" s="7"/>
      <c r="D4" s="7"/>
      <c r="E4" s="7"/>
      <c r="F4" s="9"/>
    </row>
    <row r="5" spans="1:6">
      <c r="B5" s="12"/>
      <c r="C5" s="8" t="s">
        <v>34</v>
      </c>
      <c r="D5" s="8"/>
      <c r="E5" s="8"/>
      <c r="F5" s="10"/>
    </row>
    <row r="6" spans="1:6">
      <c r="B6" s="12"/>
      <c r="C6" s="19" t="s">
        <v>61</v>
      </c>
      <c r="D6" s="19"/>
      <c r="E6" s="19"/>
      <c r="F6" s="10"/>
    </row>
    <row r="7" spans="1:6">
      <c r="B7" s="12"/>
      <c r="C7" s="8" t="s">
        <v>35</v>
      </c>
      <c r="D7" s="8"/>
      <c r="E7" s="8"/>
      <c r="F7" s="10"/>
    </row>
    <row r="8" spans="1:6">
      <c r="B8" s="12"/>
      <c r="C8" s="19" t="s">
        <v>58</v>
      </c>
      <c r="D8" s="19"/>
      <c r="E8" s="19"/>
      <c r="F8" s="10"/>
    </row>
    <row r="9" spans="1:6">
      <c r="B9" s="12"/>
      <c r="C9" s="8" t="s">
        <v>36</v>
      </c>
      <c r="D9" s="8"/>
      <c r="E9" s="8"/>
      <c r="F9" s="10"/>
    </row>
    <row r="10" spans="1:6">
      <c r="B10" s="12"/>
      <c r="C10" s="19">
        <v>34674386586</v>
      </c>
      <c r="D10" s="19"/>
      <c r="E10" s="19"/>
      <c r="F10" s="10"/>
    </row>
    <row r="11" spans="1:6">
      <c r="B11" s="12"/>
      <c r="C11" s="8" t="s">
        <v>37</v>
      </c>
      <c r="D11" s="8"/>
      <c r="E11" s="8" t="s">
        <v>38</v>
      </c>
      <c r="F11" s="10"/>
    </row>
    <row r="12" spans="1:6">
      <c r="B12" s="12"/>
      <c r="C12" s="20" t="s">
        <v>60</v>
      </c>
      <c r="D12" s="8"/>
      <c r="E12" s="20" t="s">
        <v>65</v>
      </c>
      <c r="F12" s="10"/>
    </row>
    <row r="13" spans="1:6">
      <c r="B13" s="12"/>
      <c r="C13" s="8" t="s">
        <v>39</v>
      </c>
      <c r="D13" s="8"/>
      <c r="E13" s="8" t="s">
        <v>40</v>
      </c>
      <c r="F13" s="10"/>
    </row>
    <row r="14" spans="1:6">
      <c r="B14" s="12"/>
      <c r="C14" s="21">
        <v>45108</v>
      </c>
      <c r="D14" s="8"/>
      <c r="E14" s="21">
        <v>45473</v>
      </c>
      <c r="F14" s="10"/>
    </row>
    <row r="15" spans="1:6">
      <c r="B15" s="12"/>
      <c r="C15" s="8" t="s">
        <v>41</v>
      </c>
      <c r="D15" s="8"/>
      <c r="E15" s="8" t="s">
        <v>42</v>
      </c>
      <c r="F15" s="10"/>
    </row>
    <row r="16" spans="1:6">
      <c r="B16" s="12"/>
      <c r="C16" s="20">
        <v>2024</v>
      </c>
      <c r="D16" s="8"/>
      <c r="E16" s="20" t="s">
        <v>66</v>
      </c>
      <c r="F16" s="10"/>
    </row>
    <row r="17" spans="2:6">
      <c r="B17" s="12"/>
      <c r="C17" s="8" t="s">
        <v>43</v>
      </c>
      <c r="D17" s="8"/>
      <c r="E17" s="8"/>
      <c r="F17" s="10"/>
    </row>
    <row r="18" spans="2:6">
      <c r="B18" s="12"/>
      <c r="C18" s="20" t="s">
        <v>66</v>
      </c>
      <c r="D18" s="8"/>
      <c r="E18" s="8"/>
      <c r="F18" s="10"/>
    </row>
    <row r="19" spans="2:6" ht="7.5" customHeight="1">
      <c r="B19" s="13"/>
      <c r="C19" s="14"/>
      <c r="D19" s="14"/>
      <c r="E19" s="14"/>
      <c r="F19" s="15"/>
    </row>
    <row r="21" spans="2:6">
      <c r="B21" s="6"/>
      <c r="C21" s="6" t="s">
        <v>44</v>
      </c>
    </row>
    <row r="22" spans="2:6" ht="7.5" customHeight="1">
      <c r="B22" s="11"/>
      <c r="C22" s="7"/>
      <c r="D22" s="7"/>
      <c r="E22" s="7"/>
      <c r="F22" s="9"/>
    </row>
    <row r="23" spans="2:6">
      <c r="B23" s="12"/>
      <c r="C23" s="8" t="s">
        <v>45</v>
      </c>
      <c r="D23" s="8"/>
      <c r="E23" s="8"/>
      <c r="F23" s="10"/>
    </row>
    <row r="24" spans="2:6">
      <c r="B24" s="12"/>
      <c r="C24" s="19" t="s">
        <v>59</v>
      </c>
      <c r="D24" s="19"/>
      <c r="E24" s="19"/>
      <c r="F24" s="10"/>
    </row>
    <row r="25" spans="2:6">
      <c r="B25" s="12"/>
      <c r="C25" s="8" t="s">
        <v>46</v>
      </c>
      <c r="D25" s="8"/>
      <c r="E25" s="8" t="s">
        <v>47</v>
      </c>
      <c r="F25" s="10"/>
    </row>
    <row r="26" spans="2:6">
      <c r="B26" s="12"/>
      <c r="C26" s="20"/>
      <c r="D26" s="8"/>
      <c r="E26" s="20"/>
      <c r="F26" s="10"/>
    </row>
    <row r="27" spans="2:6" ht="7.5" customHeight="1">
      <c r="B27" s="13"/>
      <c r="C27" s="14"/>
      <c r="D27" s="14"/>
      <c r="E27" s="14"/>
      <c r="F27" s="15"/>
    </row>
    <row r="29" spans="2:6">
      <c r="B29" s="6"/>
      <c r="C29" s="6" t="s">
        <v>48</v>
      </c>
    </row>
    <row r="30" spans="2:6" ht="7.5" customHeight="1">
      <c r="B30" s="11"/>
      <c r="C30" s="7"/>
      <c r="D30" s="7"/>
      <c r="E30" s="7"/>
      <c r="F30" s="9"/>
    </row>
    <row r="31" spans="2:6">
      <c r="B31" s="12"/>
      <c r="C31" s="8" t="s">
        <v>49</v>
      </c>
      <c r="D31" s="8"/>
      <c r="E31" s="8"/>
      <c r="F31" s="10"/>
    </row>
    <row r="32" spans="2:6">
      <c r="B32" s="12"/>
      <c r="C32" s="19"/>
      <c r="D32" s="19"/>
      <c r="E32" s="19"/>
      <c r="F32" s="10"/>
    </row>
    <row r="33" spans="2:6">
      <c r="B33" s="12"/>
      <c r="C33" s="8" t="s">
        <v>50</v>
      </c>
      <c r="D33" s="8"/>
      <c r="E33" s="8" t="s">
        <v>51</v>
      </c>
      <c r="F33" s="10"/>
    </row>
    <row r="34" spans="2:6">
      <c r="B34" s="12"/>
      <c r="C34" s="20"/>
      <c r="D34" s="8"/>
      <c r="E34" s="20"/>
      <c r="F34" s="10"/>
    </row>
    <row r="35" spans="2:6" ht="7.5" customHeight="1">
      <c r="B35" s="13"/>
      <c r="C35" s="14"/>
      <c r="D35" s="14"/>
      <c r="E35" s="14"/>
      <c r="F35" s="15"/>
    </row>
    <row r="37" spans="2:6">
      <c r="B37" s="6"/>
      <c r="C37" s="6" t="s">
        <v>52</v>
      </c>
    </row>
    <row r="38" spans="2:6" ht="7.5" customHeight="1">
      <c r="B38" s="11"/>
      <c r="C38" s="7"/>
      <c r="D38" s="7"/>
      <c r="E38" s="7"/>
      <c r="F38" s="9"/>
    </row>
    <row r="39" spans="2:6">
      <c r="B39" s="12"/>
      <c r="C39" s="8" t="s">
        <v>53</v>
      </c>
      <c r="D39" s="8"/>
      <c r="E39" s="8"/>
      <c r="F39" s="10"/>
    </row>
    <row r="40" spans="2:6">
      <c r="B40" s="12"/>
      <c r="C40" s="19" t="s">
        <v>63</v>
      </c>
      <c r="D40" s="19"/>
      <c r="E40" s="19"/>
      <c r="F40" s="10"/>
    </row>
    <row r="41" spans="2:6">
      <c r="B41" s="12"/>
      <c r="C41" s="8" t="s">
        <v>3</v>
      </c>
      <c r="D41" s="8"/>
      <c r="E41" s="8" t="s">
        <v>2</v>
      </c>
      <c r="F41" s="10"/>
    </row>
    <row r="42" spans="2:6">
      <c r="B42" s="12"/>
      <c r="C42" s="20" t="s">
        <v>62</v>
      </c>
      <c r="D42" s="8"/>
      <c r="E42" s="20" t="s">
        <v>62</v>
      </c>
      <c r="F42" s="10"/>
    </row>
    <row r="43" spans="2:6">
      <c r="B43" s="12"/>
      <c r="C43" s="8" t="s">
        <v>1</v>
      </c>
      <c r="D43" s="8"/>
      <c r="E43" s="8" t="s">
        <v>0</v>
      </c>
      <c r="F43" s="10"/>
    </row>
    <row r="44" spans="2:6">
      <c r="B44" s="12"/>
      <c r="C44" s="20" t="s">
        <v>64</v>
      </c>
      <c r="D44" s="8"/>
      <c r="E44" s="20" t="s">
        <v>62</v>
      </c>
      <c r="F44" s="10"/>
    </row>
    <row r="45" spans="2:6">
      <c r="B45" s="12"/>
      <c r="C45" s="8" t="s">
        <v>54</v>
      </c>
      <c r="D45" s="8"/>
      <c r="E45" s="8" t="s">
        <v>55</v>
      </c>
      <c r="F45" s="10"/>
    </row>
    <row r="46" spans="2:6">
      <c r="B46" s="12"/>
      <c r="C46" s="20"/>
      <c r="D46" s="8"/>
      <c r="E46" s="20"/>
      <c r="F46" s="10"/>
    </row>
    <row r="47" spans="2:6" ht="7.5" customHeight="1">
      <c r="B47" s="13"/>
      <c r="C47" s="14"/>
      <c r="D47" s="14"/>
      <c r="E47" s="14"/>
      <c r="F47" s="15"/>
    </row>
    <row r="49" spans="2:6">
      <c r="B49" s="6"/>
      <c r="C49" s="6" t="s">
        <v>56</v>
      </c>
    </row>
    <row r="50" spans="2:6" ht="7.5" customHeight="1">
      <c r="B50" s="11"/>
      <c r="C50" s="7"/>
      <c r="D50" s="7"/>
      <c r="E50" s="7"/>
      <c r="F50" s="9"/>
    </row>
    <row r="51" spans="2:6">
      <c r="B51" s="12"/>
      <c r="C51" s="8" t="s">
        <v>57</v>
      </c>
      <c r="D51" s="8"/>
      <c r="E51" s="8"/>
      <c r="F51" s="10"/>
    </row>
    <row r="52" spans="2:6">
      <c r="B52" s="12"/>
      <c r="C52" s="19">
        <v>0.01</v>
      </c>
      <c r="D52" s="19"/>
      <c r="E52" s="19"/>
      <c r="F52" s="10"/>
    </row>
    <row r="53" spans="2:6" ht="7.5" customHeight="1">
      <c r="B53" s="13"/>
      <c r="C53" s="14"/>
      <c r="D53" s="14"/>
      <c r="E53" s="14"/>
      <c r="F53" s="15"/>
    </row>
  </sheetData>
  <sheetProtection sheet="1" formatCells="0" formatColumns="0" formatRows="0" insertColumns="0" insertRows="0" insertHyperlinks="0"/>
  <mergeCells count="7">
    <mergeCell ref="C52:E52"/>
    <mergeCell ref="C6:E6"/>
    <mergeCell ref="C8:E8"/>
    <mergeCell ref="C10:E10"/>
    <mergeCell ref="C24:E24"/>
    <mergeCell ref="C32:E32"/>
    <mergeCell ref="C40:E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5BF9E-6070-467A-B7B9-0B6D8CCB1918}">
  <dimension ref="A1:C7"/>
  <sheetViews>
    <sheetView workbookViewId="0"/>
  </sheetViews>
  <sheetFormatPr defaultRowHeight="15"/>
  <cols>
    <col min="1" max="1" width="32.28515625" bestFit="1" customWidth="1"/>
    <col min="2" max="2" width="24.85546875" bestFit="1" customWidth="1"/>
    <col min="3" max="3" width="2" bestFit="1" customWidth="1"/>
  </cols>
  <sheetData>
    <row r="1" spans="1:3">
      <c r="A1" t="s">
        <v>190</v>
      </c>
      <c r="B1" t="s">
        <v>191</v>
      </c>
      <c r="C1">
        <f>IFERROR(SUM('G31 Div 7A Loan Calculator'!CategoryNamesList),0)</f>
        <v>0</v>
      </c>
    </row>
    <row r="2" spans="1:3">
      <c r="A2" t="s">
        <v>190</v>
      </c>
      <c r="B2" t="s">
        <v>192</v>
      </c>
      <c r="C2">
        <f>IFERROR(SUM('G31 Div 7A Loan Calculator'!G31_LoanBalance),0)</f>
        <v>10827</v>
      </c>
    </row>
    <row r="3" spans="1:3">
      <c r="A3" t="s">
        <v>190</v>
      </c>
      <c r="B3" t="s">
        <v>193</v>
      </c>
      <c r="C3">
        <f>IFERROR(SUM('G31 Div 7A Loan Calculator'!Interest_Rate),0)</f>
        <v>1130071.7677000002</v>
      </c>
    </row>
    <row r="4" spans="1:3">
      <c r="A4" t="s">
        <v>117</v>
      </c>
      <c r="B4" t="s">
        <v>118</v>
      </c>
      <c r="C4">
        <f>IFERROR(SUM('D03 Company Debit Loan Summary'!D03_Number_of_Directors),0)</f>
        <v>1</v>
      </c>
    </row>
    <row r="5" spans="1:3">
      <c r="A5" t="s">
        <v>117</v>
      </c>
      <c r="B5" t="s">
        <v>119</v>
      </c>
      <c r="C5">
        <f>IFERROR(SUM('D03 Company Debit Loan Summary'!D03_Number_of_Loans),0)</f>
        <v>1</v>
      </c>
    </row>
    <row r="6" spans="1:3">
      <c r="A6" t="s">
        <v>117</v>
      </c>
      <c r="B6" t="s">
        <v>38</v>
      </c>
      <c r="C6">
        <f>IFERROR(SUM('D03 Company Debit Loan Summary'!Jurisdiction),0)</f>
        <v>0</v>
      </c>
    </row>
    <row r="7" spans="1:3">
      <c r="A7" t="s">
        <v>247</v>
      </c>
      <c r="B7" t="s">
        <v>38</v>
      </c>
      <c r="C7">
        <f>IFERROR(SUM('D06 Distributable Surplus'!Jurisdiction),0)</f>
        <v>0</v>
      </c>
    </row>
  </sheetData>
  <sheetProtection sheet="1" formatCells="0" formatColumns="0" formatRows="0" insertColumns="0" insertRows="0" insertHyperlink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31043-5DDF-43A5-B956-999E9E8759DA}">
  <dimension ref="A1:L2"/>
  <sheetViews>
    <sheetView workbookViewId="0"/>
  </sheetViews>
  <sheetFormatPr defaultRowHeight="15"/>
  <sheetData>
    <row r="1" spans="1:12">
      <c r="A1" t="s">
        <v>81</v>
      </c>
      <c r="B1" t="s">
        <v>82</v>
      </c>
      <c r="C1" t="s">
        <v>83</v>
      </c>
      <c r="D1" t="s">
        <v>84</v>
      </c>
      <c r="E1" t="s">
        <v>85</v>
      </c>
      <c r="F1" t="s">
        <v>142</v>
      </c>
      <c r="G1" t="s">
        <v>186</v>
      </c>
      <c r="H1" t="s">
        <v>147</v>
      </c>
      <c r="I1" t="s">
        <v>185</v>
      </c>
      <c r="J1" t="s">
        <v>184</v>
      </c>
      <c r="K1" t="s">
        <v>101</v>
      </c>
      <c r="L1" t="s">
        <v>183</v>
      </c>
    </row>
    <row r="2" spans="1:12">
      <c r="A2" t="str">
        <f>INDEX('G31 Div 7A Loan Calculator'!CategoryNamesList,1,1)</f>
        <v>Director Loan - 2023</v>
      </c>
      <c r="B2" t="s">
        <v>190</v>
      </c>
      <c r="C2" t="s">
        <v>188</v>
      </c>
      <c r="D2" t="s">
        <v>194</v>
      </c>
      <c r="E2" t="str">
        <f>INDEX('G31 Div 7A Loan Calculator'!CategoryNamesList,1,1)&amp;"_5843ca72-ff96-4333-a63b-a8c3ea30f161"</f>
        <v>Director Loan - 2023_5843ca72-ff96-4333-a63b-a8c3ea30f161</v>
      </c>
      <c r="F2" t="str">
        <f ca="1">OFFSET('G31 Div 7A Loan Calculator'!CategoryNamesList, 0, 1, 1, 1)</f>
        <v>Director A</v>
      </c>
      <c r="G2">
        <f ca="1">OFFSET('G31 Div 7A Loan Calculator'!CategoryNamesList, 0, 4, 1, 1)</f>
        <v>10000</v>
      </c>
      <c r="H2">
        <f ca="1">OFFSET('G31 Div 7A Loan Calculator'!CategoryNamesList, 0, 5, 1, 1)</f>
        <v>0</v>
      </c>
      <c r="I2">
        <f ca="1">OFFSET('G31 Div 7A Loan Calculator'!CategoryNamesList, 0, 6, 1, 1)</f>
        <v>-2180.9</v>
      </c>
      <c r="J2">
        <f ca="1">OFFSET('G31 Div 7A Loan Calculator'!CategoryNamesList, 0, 7, 1, 1)</f>
        <v>2180.9</v>
      </c>
      <c r="K2">
        <f ca="1">OFFSET('G31 Div 7A Loan Calculator'!CategoryNamesList, 0, 8, 1, 1)</f>
        <v>827</v>
      </c>
      <c r="L2">
        <f ca="1">OFFSET('G31 Div 7A Loan Calculator'!CategoryNamesList, 0, 9, 1, 1)</f>
        <v>10827</v>
      </c>
    </row>
  </sheetData>
  <sheetProtection sheet="1" formatCells="0" formatColumns="0" formatRows="0" insertColumns="0" insertRows="0" insertHyperlink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C61B6-A630-47DA-B28D-4C41C8076474}">
  <dimension ref="A1:D4"/>
  <sheetViews>
    <sheetView workbookViewId="0"/>
  </sheetViews>
  <sheetFormatPr defaultRowHeight="15"/>
  <sheetData>
    <row r="1" spans="1:4">
      <c r="A1" t="s">
        <v>86</v>
      </c>
      <c r="B1" t="s">
        <v>87</v>
      </c>
      <c r="C1" t="s">
        <v>18</v>
      </c>
      <c r="D1" t="s">
        <v>88</v>
      </c>
    </row>
    <row r="2" spans="1:4">
      <c r="A2" t="s">
        <v>187</v>
      </c>
      <c r="B2" t="s">
        <v>188</v>
      </c>
      <c r="C2">
        <v>0.01</v>
      </c>
      <c r="D2" t="s">
        <v>189</v>
      </c>
    </row>
    <row r="3" spans="1:4">
      <c r="A3" t="s">
        <v>126</v>
      </c>
      <c r="B3" t="s">
        <v>132</v>
      </c>
      <c r="C3">
        <v>0.01</v>
      </c>
      <c r="D3" t="s">
        <v>111</v>
      </c>
    </row>
    <row r="4" spans="1:4">
      <c r="A4" t="s">
        <v>245</v>
      </c>
      <c r="B4" t="s">
        <v>246</v>
      </c>
      <c r="C4">
        <v>0.01</v>
      </c>
      <c r="D4" t="s">
        <v>238</v>
      </c>
    </row>
  </sheetData>
  <sheetProtection sheet="1" formatCells="0" formatColumns="0" formatRows="0" insertColumns="0" insertRows="0" insertHyperlink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5913F-4196-43B3-B7ED-43ADBA81D115}">
  <dimension ref="A1"/>
  <sheetViews>
    <sheetView workbookViewId="0"/>
  </sheetViews>
  <sheetFormatPr defaultRowHeight="15"/>
  <sheetData/>
  <sheetProtection sheet="1" formatCells="0" formatColumns="0" formatRows="0" insertColumns="0" insertRows="0" insertHyperlink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24C48-6B99-47D8-A1BB-58470F03CDE3}">
  <dimension ref="A1:N1"/>
  <sheetViews>
    <sheetView workbookViewId="0"/>
  </sheetViews>
  <sheetFormatPr defaultRowHeight="15"/>
  <sheetData>
    <row r="1" spans="1:14">
      <c r="A1" s="22" t="s">
        <v>67</v>
      </c>
      <c r="B1" s="22" t="s">
        <v>68</v>
      </c>
      <c r="C1" s="22" t="s">
        <v>69</v>
      </c>
      <c r="D1" s="22" t="s">
        <v>70</v>
      </c>
      <c r="E1" s="22" t="s">
        <v>71</v>
      </c>
      <c r="F1" s="22" t="s">
        <v>72</v>
      </c>
      <c r="G1" s="22" t="s">
        <v>73</v>
      </c>
      <c r="H1" s="22" t="s">
        <v>74</v>
      </c>
      <c r="I1" s="22" t="s">
        <v>75</v>
      </c>
      <c r="J1" s="22" t="s">
        <v>76</v>
      </c>
      <c r="K1" s="22" t="s">
        <v>77</v>
      </c>
      <c r="L1" s="22" t="s">
        <v>78</v>
      </c>
      <c r="M1" s="22" t="s">
        <v>79</v>
      </c>
      <c r="N1" s="22" t="s">
        <v>80</v>
      </c>
    </row>
  </sheetData>
  <sheetProtection sheet="1" formatCells="0" formatColumns="0" formatRows="0" insertColumns="0" insertRows="0" insertHyperlinks="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E4793150CFD241B84E6E839F0BBD45" ma:contentTypeVersion="4" ma:contentTypeDescription="Create a new document." ma:contentTypeScope="" ma:versionID="c0b9a66a8241a267ba45a4d887682b0c">
  <xsd:schema xmlns:xsd="http://www.w3.org/2001/XMLSchema" xmlns:xs="http://www.w3.org/2001/XMLSchema" xmlns:p="http://schemas.microsoft.com/office/2006/metadata/properties" xmlns:ns2="e6957977-2756-448b-9320-70c3a7775cfe" targetNamespace="http://schemas.microsoft.com/office/2006/metadata/properties" ma:root="true" ma:fieldsID="99e427aa993975b35861b54b50f3339a" ns2:_="">
    <xsd:import namespace="e6957977-2756-448b-9320-70c3a7775c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957977-2756-448b-9320-70c3a7775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FADFC4-8EF3-4E7D-83E1-FC0ACFCCFA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957977-2756-448b-9320-70c3a7775c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0ACE71-D6BD-4A14-BED5-8B3E0513BB5F}">
  <ds:schemaRefs>
    <ds:schemaRef ds:uri="http://schemas.microsoft.com/office/2006/metadata/properties"/>
    <ds:schemaRef ds:uri="http://www.w3.org/XML/1998/namespace"/>
    <ds:schemaRef ds:uri="http://schemas.microsoft.com/office/2006/documentManagement/types"/>
    <ds:schemaRef ds:uri="http://purl.org/dc/dcmitype/"/>
    <ds:schemaRef ds:uri="http://purl.org/dc/elements/1.1/"/>
    <ds:schemaRef ds:uri="e6957977-2756-448b-9320-70c3a7775cfe"/>
    <ds:schemaRef ds:uri="http://schemas.openxmlformats.org/package/2006/metadata/core-properties"/>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50E696A0-6AF8-4ED8-AFE0-2685018A72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107</vt:i4>
      </vt:variant>
    </vt:vector>
  </HeadingPairs>
  <TitlesOfParts>
    <vt:vector size="118" baseType="lpstr">
      <vt:lpstr>Cover</vt:lpstr>
      <vt:lpstr>G31 Div 7A Loan Calculator</vt:lpstr>
      <vt:lpstr>D03 Company Debit Loan Summary</vt:lpstr>
      <vt:lpstr>D06 Distributable Surplus</vt:lpstr>
      <vt:lpstr>Index</vt:lpstr>
      <vt:lpstr>Home</vt:lpstr>
      <vt:lpstr>Sheet_Named_Ranges</vt:lpstr>
      <vt:lpstr>HNSW_Summary</vt:lpstr>
      <vt:lpstr>Binder_Records</vt:lpstr>
      <vt:lpstr>Binder_Categories</vt:lpstr>
      <vt:lpstr>Taxonomy</vt:lpstr>
      <vt:lpstr>Binder_Properties!BinderId</vt:lpstr>
      <vt:lpstr>Binder_Properties!BinderVersion</vt:lpstr>
      <vt:lpstr>CategoryList</vt:lpstr>
      <vt:lpstr>'G31 Div 7A Loan Calculator'!CategoryNamesList</vt:lpstr>
      <vt:lpstr>Cl_ABNTFN</vt:lpstr>
      <vt:lpstr>Cl_Code</vt:lpstr>
      <vt:lpstr>Cl_Contact</vt:lpstr>
      <vt:lpstr>Cl_Email</vt:lpstr>
      <vt:lpstr>Cl_EntityType</vt:lpstr>
      <vt:lpstr>Cl_Name</vt:lpstr>
      <vt:lpstr>Cl_Phone</vt:lpstr>
      <vt:lpstr>Cl_Software</vt:lpstr>
      <vt:lpstr>Cl_SoftwarePassword</vt:lpstr>
      <vt:lpstr>Cl_SoftwareUsername</vt:lpstr>
      <vt:lpstr>'D03 Company Debit Loan Summary'!D03_Number_of_Directors</vt:lpstr>
      <vt:lpstr>'D03 Company Debit Loan Summary'!D03_Number_of_Loans</vt:lpstr>
      <vt:lpstr>Binder_Properties!DataVersion</vt:lpstr>
      <vt:lpstr>'G31 Div 7A Loan Calculator'!DynamicList_02</vt:lpstr>
      <vt:lpstr>'G31 Div 7A Loan Calculator'!DynamicList_03</vt:lpstr>
      <vt:lpstr>'G31 Div 7A Loan Calculator'!DynamicList_04</vt:lpstr>
      <vt:lpstr>'G31 Div 7A Loan Calculator'!DynamicList_05</vt:lpstr>
      <vt:lpstr>Firm_Manager</vt:lpstr>
      <vt:lpstr>Firm_Name</vt:lpstr>
      <vt:lpstr>Firm_Partner</vt:lpstr>
      <vt:lpstr>Firm_Preparer</vt:lpstr>
      <vt:lpstr>Firm_PreparerDate</vt:lpstr>
      <vt:lpstr>Firm_Reviewer</vt:lpstr>
      <vt:lpstr>Firm_ReviewerDate</vt:lpstr>
      <vt:lpstr>'G31 Div 7A Loan Calculator'!G31_LoanBalance</vt:lpstr>
      <vt:lpstr>'D03 Company Debit Loan Summary'!Go_Index</vt:lpstr>
      <vt:lpstr>'D06 Distributable Surplus'!Go_Index</vt:lpstr>
      <vt:lpstr>'G31 Div 7A Loan Calculator'!Go_Index</vt:lpstr>
      <vt:lpstr>'D03 Company Debit Loan Summary'!Go_RefreshSummary</vt:lpstr>
      <vt:lpstr>'G31 Div 7A Loan Calculator'!Go_RefreshSummary</vt:lpstr>
      <vt:lpstr>'G31 Div 7A Loan Calculator'!Go_RollUp_01</vt:lpstr>
      <vt:lpstr>'G31 Div 7A Loan Calculator'!Go_RollUp_03</vt:lpstr>
      <vt:lpstr>'G31 Div 7A Loan Calculator'!Go_RollUp_06</vt:lpstr>
      <vt:lpstr>'G31 Div 7A Loan Calculator'!Go_RollUp_07</vt:lpstr>
      <vt:lpstr>'D03 Company Debit Loan Summary'!Go_ShowHideRows</vt:lpstr>
      <vt:lpstr>'D03 Company Debit Loan Summary'!Go_ShowHideRows_01</vt:lpstr>
      <vt:lpstr>'G31 Div 7A Loan Calculator'!Go_Variance_01</vt:lpstr>
      <vt:lpstr>Binder_Properties!HomeVersion</vt:lpstr>
      <vt:lpstr>'G31 Div 7A Loan Calculator'!Interest_Rate</vt:lpstr>
      <vt:lpstr>'D03 Company Debit Loan Summary'!Jurisdiction</vt:lpstr>
      <vt:lpstr>'D06 Distributable Surplus'!Jurisdiction</vt:lpstr>
      <vt:lpstr>Jurisdiction</vt:lpstr>
      <vt:lpstr>Options_Tolerance</vt:lpstr>
      <vt:lpstr>PeriodEndDate</vt:lpstr>
      <vt:lpstr>PeriodStartDate</vt:lpstr>
      <vt:lpstr>PrimaryBalances</vt:lpstr>
      <vt:lpstr>'D06 Distributable Surplus'!Print_Area</vt:lpstr>
      <vt:lpstr>'G31 Div 7A Loan Calculator'!Print_Area</vt:lpstr>
      <vt:lpstr>'D03 Company Debit Loan Summary'!Reconcile_Director1LoanBalance</vt:lpstr>
      <vt:lpstr>'D03 Company Debit Loan Summary'!Reconcile_Director2LoanBalance</vt:lpstr>
      <vt:lpstr>'D03 Company Debit Loan Summary'!Reconcile_Director3LoanBalance</vt:lpstr>
      <vt:lpstr>'D03 Company Debit Loan Summary'!Reconcile_Div7AClosingBalance</vt:lpstr>
      <vt:lpstr>'G31 Div 7A Loan Calculator'!Reconcile_LoanBalance</vt:lpstr>
      <vt:lpstr>'D03 Company Debit Loan Summary'!Reconcile_TotalClosingBalance</vt:lpstr>
      <vt:lpstr>'D03 Company Debit Loan Summary'!Reconcile_UPEClosingBalance</vt:lpstr>
      <vt:lpstr>RecordInfo.RecordId</vt:lpstr>
      <vt:lpstr>RecordInfo.RecordTitle</vt:lpstr>
      <vt:lpstr>RecordInfo.SheetId</vt:lpstr>
      <vt:lpstr>RecordInfo.Tolerances</vt:lpstr>
      <vt:lpstr>SheetNamedRangesNames</vt:lpstr>
      <vt:lpstr>SheetNamedRangesSheetName</vt:lpstr>
      <vt:lpstr>SheetNamedRangesValues</vt:lpstr>
      <vt:lpstr>'G31 Div 7A Loan Calculator'!SingleCB_1</vt:lpstr>
      <vt:lpstr>'G31 Div 7A Loan Calculator'!SingleCB_6</vt:lpstr>
      <vt:lpstr>'G31 Div 7A Loan Calculator'!SingleOB_1</vt:lpstr>
      <vt:lpstr>'G31 Div 7A Loan Calculator'!SingleOB_2</vt:lpstr>
      <vt:lpstr>'G31 Div 7A Loan Calculator'!SingleOB_6</vt:lpstr>
      <vt:lpstr>Tax_BaseRateEntity</vt:lpstr>
      <vt:lpstr>Tax_SmallBusinessEntity</vt:lpstr>
      <vt:lpstr>Tax_Year</vt:lpstr>
      <vt:lpstr>'G31 Div 7A Loan Calculator'!Tm_Account</vt:lpstr>
      <vt:lpstr>'G31 Div 7A Loan Calculator'!Tm_BalanceStatus</vt:lpstr>
      <vt:lpstr>'G31 Div 7A Loan Calculator'!Tm_CategoryList</vt:lpstr>
      <vt:lpstr>'G31 Div 7A Loan Calculator'!Tm_EndRollUp_01</vt:lpstr>
      <vt:lpstr>'G31 Div 7A Loan Calculator'!Tm_EndRollUp_03</vt:lpstr>
      <vt:lpstr>'G31 Div 7A Loan Calculator'!Tm_EndRollUp_06</vt:lpstr>
      <vt:lpstr>'G31 Div 7A Loan Calculator'!Tm_EndRollUp_07</vt:lpstr>
      <vt:lpstr>'G31 Div 7A Loan Calculator'!Tm_Jurisdiction</vt:lpstr>
      <vt:lpstr>'G31 Div 7A Loan Calculator'!Tm_StartRollUp_01</vt:lpstr>
      <vt:lpstr>'G31 Div 7A Loan Calculator'!Tm_StartRollUp_03</vt:lpstr>
      <vt:lpstr>'G31 Div 7A Loan Calculator'!Tm_StartRollUp_06</vt:lpstr>
      <vt:lpstr>'G31 Div 7A Loan Calculator'!Tm_StartRollUp_07</vt:lpstr>
      <vt:lpstr>'D06 Distributable Surplus'!Tm_Status</vt:lpstr>
      <vt:lpstr>'G31 Div 7A Loan Calculator'!Tm_Status</vt:lpstr>
      <vt:lpstr>'G31 Div 7A Loan Calculator'!Tm_Sub</vt:lpstr>
      <vt:lpstr>'G31 Div 7A Loan Calculator'!Tm_TBAccount</vt:lpstr>
      <vt:lpstr>'G31 Div 7A Loan Calculator'!Tm_TBBalance</vt:lpstr>
      <vt:lpstr>'G31 Div 7A Loan Calculator'!Tm_Tolerance</vt:lpstr>
      <vt:lpstr>'G31 Div 7A Loan Calculator'!Tm_WorksheetTitle</vt:lpstr>
      <vt:lpstr>TrialBalance</vt:lpstr>
      <vt:lpstr>Tx_LedgerReport.AccountNames</vt:lpstr>
      <vt:lpstr>Tx_LedgerReport.AccountNos</vt:lpstr>
      <vt:lpstr>Tx_LedgerReport.Benchmark</vt:lpstr>
      <vt:lpstr>Tx_LedgerReport.LedgerSide</vt:lpstr>
      <vt:lpstr>Tx_LedgerReport.MappingCode</vt:lpstr>
      <vt:lpstr>Tx_LedgerReport.NonDeductibles</vt:lpstr>
      <vt:lpstr>Tx_LedgerReport.PPs</vt:lpstr>
      <vt:lpstr>Tx_LedgerReport.RowType</vt:lpstr>
      <vt:lpstr>Tx_LedgerReport.SourceAccountId</vt:lpstr>
      <vt:lpstr>Tx_LedgerReport.TaxonomyBalances</vt:lpstr>
      <vt:lpstr>Tx_LedgerReport.TaxonomyBalancesDrCr</vt:lpstr>
      <vt:lpstr>Tx_LedgerReport.TaxonomyIDs</vt:lpstr>
      <vt:lpstr>Tx_LedgerReport.TaxonomyNames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Active Workpapers</dc:creator>
  <cp:lastModifiedBy>Callum Matchett</cp:lastModifiedBy>
  <cp:lastPrinted>2022-07-06T03:03:17Z</cp:lastPrinted>
  <dcterms:created xsi:type="dcterms:W3CDTF">2022-05-25T00:00:00Z</dcterms:created>
  <dcterms:modified xsi:type="dcterms:W3CDTF">2024-11-26T12:43:45Z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ctivateBinderId">
    <vt:lpwstr>5b19301f-6048-445c-af57-40aae8ca7172</vt:lpwstr>
  </property>
  <property fmtid="{D5CDD505-2E9C-101B-9397-08002B2CF9AE}" pid="3" name="ContentTypeId">
    <vt:lpwstr>0x0101006FE4793150CFD241B84E6E839F0BBD45</vt:lpwstr>
  </property>
</Properties>
</file>